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 tabRatio="595" activeTab="1"/>
  </bookViews>
  <sheets>
    <sheet name="прилож.3-школы" sheetId="1" r:id="rId1"/>
    <sheet name="прилож.4-школы" sheetId="2" r:id="rId2"/>
    <sheet name="прилож.3-сады" sheetId="5" r:id="rId3"/>
    <sheet name="прилож.4-сады" sheetId="4" r:id="rId4"/>
    <sheet name="прилож.3-ДДТ" sheetId="7" r:id="rId5"/>
    <sheet name="прилож.4-ДДТ" sheetId="8" r:id="rId6"/>
  </sheet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10" i="2" l="1"/>
  <c r="AM10" i="2" s="1"/>
  <c r="N13" i="7" l="1"/>
  <c r="L13" i="7"/>
  <c r="J13" i="7"/>
  <c r="I13" i="7"/>
  <c r="T20" i="4" l="1"/>
  <c r="V20" i="4"/>
  <c r="T19" i="4"/>
  <c r="V19" i="4"/>
  <c r="AK18" i="4"/>
  <c r="T18" i="4"/>
  <c r="T17" i="4"/>
  <c r="V17" i="4"/>
  <c r="T16" i="4"/>
  <c r="V16" i="4"/>
  <c r="T15" i="4"/>
  <c r="V15" i="4"/>
  <c r="T14" i="4"/>
  <c r="V14" i="4"/>
  <c r="T12" i="4" l="1"/>
  <c r="V12" i="4"/>
  <c r="T13" i="4"/>
  <c r="T11" i="4"/>
  <c r="V11" i="4"/>
  <c r="Z15" i="2" l="1"/>
  <c r="U15" i="2"/>
  <c r="T15" i="2"/>
  <c r="U14" i="2"/>
  <c r="T14" i="2"/>
  <c r="V14" i="2"/>
  <c r="Z12" i="2"/>
  <c r="Z13" i="2"/>
  <c r="U13" i="2"/>
  <c r="T13" i="2"/>
  <c r="U12" i="2"/>
  <c r="T12" i="2"/>
  <c r="V12" i="2"/>
  <c r="U11" i="2"/>
  <c r="T11" i="2"/>
  <c r="V11" i="2"/>
  <c r="U10" i="2"/>
  <c r="T10" i="2"/>
  <c r="V10" i="2"/>
  <c r="G12" i="2" l="1"/>
  <c r="AC13" i="2"/>
  <c r="Y13" i="2"/>
  <c r="AA13" i="2" s="1"/>
  <c r="AC10" i="2"/>
  <c r="AB13" i="2" l="1"/>
  <c r="AD13" i="2"/>
  <c r="W17" i="4"/>
  <c r="W19" i="4"/>
  <c r="W18" i="4" l="1"/>
  <c r="W15" i="4"/>
  <c r="X10" i="2"/>
  <c r="X14" i="2"/>
  <c r="Q149" i="5" l="1"/>
  <c r="V135" i="5" l="1"/>
  <c r="U135" i="5"/>
  <c r="T135" i="5"/>
  <c r="V134" i="5"/>
  <c r="U134" i="5"/>
  <c r="V132" i="5"/>
  <c r="U132" i="5"/>
  <c r="V131" i="5"/>
  <c r="U131" i="5"/>
  <c r="V130" i="5"/>
  <c r="U130" i="5"/>
  <c r="V129" i="5"/>
  <c r="U129" i="5"/>
  <c r="K34" i="5" l="1"/>
  <c r="O29" i="5"/>
  <c r="M29" i="5"/>
  <c r="K35" i="5"/>
  <c r="O35" i="5" s="1"/>
  <c r="O106" i="5" l="1"/>
  <c r="M106" i="5"/>
  <c r="O58" i="5"/>
  <c r="M58" i="5"/>
  <c r="K64" i="5"/>
  <c r="O64" i="5" s="1"/>
  <c r="K115" i="5"/>
  <c r="K114" i="5"/>
  <c r="O114" i="5" s="1"/>
  <c r="K113" i="5"/>
  <c r="K111" i="5"/>
  <c r="K112" i="5"/>
  <c r="K116" i="5"/>
  <c r="H136" i="5"/>
  <c r="I136" i="5"/>
  <c r="K122" i="5"/>
  <c r="M122" i="5" s="1"/>
  <c r="N122" i="5"/>
  <c r="Q122" i="5"/>
  <c r="K187" i="5"/>
  <c r="O187" i="5" s="1"/>
  <c r="K167" i="5"/>
  <c r="N16" i="5"/>
  <c r="O34" i="5"/>
  <c r="O122" i="5" l="1"/>
  <c r="T122" i="5" s="1"/>
  <c r="U122" i="5" s="1"/>
  <c r="V122" i="5" s="1"/>
  <c r="G150" i="5"/>
  <c r="Q150" i="5" s="1"/>
  <c r="I151" i="5"/>
  <c r="H151" i="5"/>
  <c r="I164" i="5"/>
  <c r="H164" i="5"/>
  <c r="H163" i="5"/>
  <c r="I163" i="5"/>
  <c r="Q165" i="5"/>
  <c r="N165" i="5"/>
  <c r="K165" i="5"/>
  <c r="O165" i="5" s="1"/>
  <c r="G163" i="5"/>
  <c r="M165" i="5" l="1"/>
  <c r="T165" i="5"/>
  <c r="U165" i="5" s="1"/>
  <c r="V165" i="5" s="1"/>
  <c r="I145" i="5" l="1"/>
  <c r="G144" i="5"/>
  <c r="I150" i="5"/>
  <c r="H150" i="5"/>
  <c r="I195" i="5" l="1"/>
  <c r="I194" i="5"/>
  <c r="H194" i="5"/>
  <c r="G194" i="5"/>
  <c r="G198" i="5" s="1"/>
  <c r="I181" i="5"/>
  <c r="H181" i="5"/>
  <c r="I180" i="5"/>
  <c r="H180" i="5"/>
  <c r="I175" i="5"/>
  <c r="I174" i="5"/>
  <c r="H174" i="5"/>
  <c r="G174" i="5"/>
  <c r="I160" i="5"/>
  <c r="H160" i="5"/>
  <c r="U19" i="4" l="1"/>
  <c r="U17" i="4"/>
  <c r="U15" i="4"/>
  <c r="H197" i="5" l="1"/>
  <c r="U197" i="5" s="1"/>
  <c r="H193" i="5"/>
  <c r="U193" i="5" l="1"/>
  <c r="H195" i="5"/>
  <c r="G197" i="5"/>
  <c r="N197" i="5" s="1"/>
  <c r="T197" i="5" s="1"/>
  <c r="I199" i="5"/>
  <c r="H199" i="5"/>
  <c r="V197" i="5"/>
  <c r="M197" i="5"/>
  <c r="F197" i="5"/>
  <c r="T196" i="5"/>
  <c r="M196" i="5"/>
  <c r="G193" i="5"/>
  <c r="V193" i="5"/>
  <c r="M193" i="5"/>
  <c r="F193" i="5"/>
  <c r="T192" i="5"/>
  <c r="M192" i="5"/>
  <c r="AJ20" i="4"/>
  <c r="U20" i="4"/>
  <c r="U21" i="4" s="1"/>
  <c r="N193" i="5" l="1"/>
  <c r="T193" i="5" s="1"/>
  <c r="H173" i="5"/>
  <c r="G173" i="5"/>
  <c r="N173" i="5" s="1"/>
  <c r="T173" i="5" s="1"/>
  <c r="V173" i="5"/>
  <c r="M173" i="5"/>
  <c r="F173" i="5"/>
  <c r="N172" i="5"/>
  <c r="T172" i="5" s="1"/>
  <c r="M172" i="5"/>
  <c r="H143" i="5"/>
  <c r="U143" i="5" s="1"/>
  <c r="H141" i="5"/>
  <c r="U141" i="5" l="1"/>
  <c r="H145" i="5"/>
  <c r="U173" i="5"/>
  <c r="H175" i="5"/>
  <c r="M143" i="5"/>
  <c r="V143" i="5"/>
  <c r="G143" i="5"/>
  <c r="N143" i="5" s="1"/>
  <c r="T143" i="5" s="1"/>
  <c r="F143" i="5"/>
  <c r="T142" i="5"/>
  <c r="G141" i="5"/>
  <c r="N141" i="5" s="1"/>
  <c r="V141" i="5"/>
  <c r="M141" i="5"/>
  <c r="F141" i="5"/>
  <c r="T140" i="5"/>
  <c r="AJ19" i="4"/>
  <c r="AJ17" i="4"/>
  <c r="G102" i="5"/>
  <c r="N102" i="5" s="1"/>
  <c r="I103" i="5"/>
  <c r="H103" i="5"/>
  <c r="G103" i="5"/>
  <c r="V102" i="5"/>
  <c r="M102" i="5"/>
  <c r="H102" i="5"/>
  <c r="U102" i="5" s="1"/>
  <c r="F102" i="5"/>
  <c r="N101" i="5"/>
  <c r="T101" i="5" s="1"/>
  <c r="M101" i="5"/>
  <c r="AJ16" i="4"/>
  <c r="T102" i="5" l="1"/>
  <c r="H16" i="4"/>
  <c r="T141" i="5"/>
  <c r="AJ11" i="4" l="1"/>
  <c r="H25" i="5"/>
  <c r="U25" i="5" s="1"/>
  <c r="U86" i="5"/>
  <c r="G25" i="5" l="1"/>
  <c r="N25" i="5" s="1"/>
  <c r="H11" i="4" s="1"/>
  <c r="I26" i="5"/>
  <c r="H26" i="5"/>
  <c r="G26" i="5"/>
  <c r="V25" i="5"/>
  <c r="M25" i="5"/>
  <c r="F25" i="5"/>
  <c r="N24" i="5"/>
  <c r="T24" i="5" s="1"/>
  <c r="M24" i="5"/>
  <c r="T25" i="5" l="1"/>
  <c r="I16" i="7"/>
  <c r="I15" i="7"/>
  <c r="I14" i="7"/>
  <c r="I12" i="7"/>
  <c r="I11" i="7"/>
  <c r="W20" i="4"/>
  <c r="W16" i="4"/>
  <c r="W14" i="4"/>
  <c r="W12" i="4"/>
  <c r="W11" i="4"/>
  <c r="X13" i="2" l="1"/>
  <c r="X12" i="2"/>
  <c r="X11" i="2"/>
  <c r="I37" i="1" l="1"/>
  <c r="K182" i="5" l="1"/>
  <c r="K180" i="5"/>
  <c r="O180" i="5" s="1"/>
  <c r="O167" i="5"/>
  <c r="K166" i="5"/>
  <c r="O166" i="5" s="1"/>
  <c r="K164" i="5"/>
  <c r="K160" i="5"/>
  <c r="K153" i="5"/>
  <c r="K152" i="5"/>
  <c r="O113" i="5"/>
  <c r="K110" i="5"/>
  <c r="O110" i="5" s="1"/>
  <c r="K109" i="5"/>
  <c r="O109" i="5" s="1"/>
  <c r="K21" i="5" l="1"/>
  <c r="K16" i="5"/>
  <c r="O16" i="5" s="1"/>
  <c r="AC19" i="4" l="1"/>
  <c r="AC18" i="4"/>
  <c r="AC14" i="4"/>
  <c r="AC13" i="4"/>
  <c r="AC12" i="4"/>
  <c r="AC11" i="4"/>
  <c r="V18" i="4" l="1"/>
  <c r="V13" i="4"/>
  <c r="Z11" i="4" l="1"/>
  <c r="Z17" i="4"/>
  <c r="Z16" i="4"/>
  <c r="AC20" i="4"/>
  <c r="AC17" i="4"/>
  <c r="AC16" i="4"/>
  <c r="AC15" i="4"/>
  <c r="V15" i="2"/>
  <c r="V13" i="2"/>
  <c r="L99" i="5" l="1"/>
  <c r="G14" i="5" l="1"/>
  <c r="R241" i="1" l="1"/>
  <c r="Z241" i="1"/>
  <c r="AE241" i="1"/>
  <c r="AE237" i="1"/>
  <c r="Z237" i="1"/>
  <c r="Z231" i="1"/>
  <c r="AE231" i="1"/>
  <c r="AE230" i="1"/>
  <c r="Z230" i="1"/>
  <c r="AE219" i="1" l="1"/>
  <c r="AE218" i="1"/>
  <c r="Z219" i="1"/>
  <c r="Z218" i="1"/>
  <c r="R237" i="1" l="1"/>
  <c r="R231" i="1"/>
  <c r="R230" i="1"/>
  <c r="R226" i="1"/>
  <c r="R219" i="1"/>
  <c r="R218" i="1"/>
  <c r="L188" i="5" l="1"/>
  <c r="L168" i="5"/>
  <c r="L136" i="5"/>
  <c r="L83" i="5"/>
  <c r="L68" i="5"/>
  <c r="L54" i="5"/>
  <c r="L40" i="5"/>
  <c r="U136" i="5" l="1"/>
  <c r="V136" i="5"/>
  <c r="L21" i="5"/>
  <c r="L15" i="5"/>
  <c r="L16" i="5"/>
  <c r="L17" i="5"/>
  <c r="L18" i="5"/>
  <c r="L19" i="5"/>
  <c r="L20" i="5"/>
  <c r="L14" i="5"/>
  <c r="V16" i="5" l="1"/>
  <c r="U16" i="5"/>
  <c r="L22" i="5"/>
  <c r="G102" i="1" l="1"/>
  <c r="M13" i="7" l="1"/>
  <c r="K13" i="7"/>
  <c r="J11" i="7"/>
  <c r="V13" i="7"/>
  <c r="W13" i="7" s="1"/>
  <c r="V15" i="7"/>
  <c r="V14" i="7"/>
  <c r="W14" i="7" s="1"/>
  <c r="V12" i="7"/>
  <c r="V11" i="7"/>
  <c r="W11" i="7" s="1"/>
  <c r="V16" i="7"/>
  <c r="W18" i="7"/>
  <c r="X9" i="7" s="1"/>
  <c r="T18" i="7"/>
  <c r="W15" i="7"/>
  <c r="W16" i="7"/>
  <c r="W12" i="7"/>
  <c r="T11" i="7"/>
  <c r="T13" i="7"/>
  <c r="R17" i="7"/>
  <c r="T16" i="7"/>
  <c r="T15" i="7"/>
  <c r="T14" i="7"/>
  <c r="T12" i="7"/>
  <c r="AJ18" i="4"/>
  <c r="AJ15" i="4"/>
  <c r="AJ14" i="4"/>
  <c r="AJ13" i="4"/>
  <c r="W13" i="4"/>
  <c r="AJ12" i="4"/>
  <c r="X17" i="7" l="1"/>
  <c r="W17" i="7"/>
  <c r="T17" i="7"/>
  <c r="X10" i="7" s="1"/>
  <c r="X11" i="7" s="1"/>
  <c r="H133" i="5"/>
  <c r="U133" i="5" s="1"/>
  <c r="I133" i="5"/>
  <c r="V133" i="5" s="1"/>
  <c r="G133" i="5"/>
  <c r="G119" i="5"/>
  <c r="I62" i="5"/>
  <c r="H62" i="5"/>
  <c r="G62" i="5"/>
  <c r="I20" i="5"/>
  <c r="H20" i="5"/>
  <c r="G20" i="5"/>
  <c r="I18" i="5"/>
  <c r="H18" i="5"/>
  <c r="G18" i="5"/>
  <c r="I19" i="5"/>
  <c r="H19" i="5"/>
  <c r="G19" i="5"/>
  <c r="I14" i="5"/>
  <c r="H14" i="5"/>
  <c r="G136" i="5" l="1"/>
  <c r="S17" i="7"/>
  <c r="Y18" i="7"/>
  <c r="Z18" i="7" s="1"/>
  <c r="Z20" i="4"/>
  <c r="V17" i="7"/>
  <c r="W19" i="7"/>
  <c r="T19" i="7"/>
  <c r="AH15" i="2"/>
  <c r="AE15" i="2"/>
  <c r="AH13" i="2" l="1"/>
  <c r="AE13" i="2"/>
  <c r="AH14" i="2"/>
  <c r="AE14" i="2"/>
  <c r="AH12" i="2"/>
  <c r="AE12" i="2"/>
  <c r="I38" i="1" l="1"/>
  <c r="I22" i="1"/>
  <c r="H22" i="1"/>
  <c r="G22" i="1"/>
  <c r="I9" i="1"/>
  <c r="H9" i="1"/>
  <c r="G9" i="1"/>
  <c r="O219" i="1" l="1"/>
  <c r="X241" i="1"/>
  <c r="P241" i="1"/>
  <c r="O241" i="1"/>
  <c r="P231" i="1"/>
  <c r="AC230" i="1"/>
  <c r="X230" i="1"/>
  <c r="P230" i="1"/>
  <c r="O230" i="1"/>
  <c r="P219" i="1"/>
  <c r="X219" i="1"/>
  <c r="AC219" i="1"/>
  <c r="P218" i="1"/>
  <c r="I238" i="1"/>
  <c r="H238" i="1"/>
  <c r="H223" i="1"/>
  <c r="G237" i="1"/>
  <c r="G238" i="1"/>
  <c r="I223" i="1" l="1"/>
  <c r="G224" i="1"/>
  <c r="G222" i="1"/>
  <c r="G223" i="1"/>
  <c r="I198" i="1" l="1"/>
  <c r="H198" i="1"/>
  <c r="G198" i="1"/>
  <c r="I186" i="1"/>
  <c r="H186" i="1"/>
  <c r="G186" i="1"/>
  <c r="I173" i="1"/>
  <c r="H173" i="1"/>
  <c r="G176" i="1"/>
  <c r="G178" i="1"/>
  <c r="G173" i="1"/>
  <c r="I144" i="1" l="1"/>
  <c r="H144" i="1"/>
  <c r="G151" i="1"/>
  <c r="G144" i="1"/>
  <c r="I141" i="1"/>
  <c r="H141" i="1"/>
  <c r="I136" i="1"/>
  <c r="H136" i="1"/>
  <c r="I131" i="1"/>
  <c r="H131" i="1"/>
  <c r="G131" i="1"/>
  <c r="G136" i="1"/>
  <c r="G141" i="1"/>
  <c r="I80" i="1"/>
  <c r="H80" i="1"/>
  <c r="I102" i="1"/>
  <c r="H102" i="1"/>
  <c r="I91" i="1"/>
  <c r="H91" i="1"/>
  <c r="G91" i="1"/>
  <c r="P168" i="5"/>
  <c r="AH11" i="2"/>
  <c r="AE11" i="2"/>
  <c r="G66" i="1"/>
  <c r="G62" i="1"/>
  <c r="G73" i="1" s="1"/>
  <c r="I62" i="1"/>
  <c r="H62" i="1"/>
  <c r="G12" i="1"/>
  <c r="I49" i="1"/>
  <c r="H49" i="1"/>
  <c r="G49" i="1"/>
  <c r="P49" i="1" s="1"/>
  <c r="G54" i="1"/>
  <c r="AH10" i="2"/>
  <c r="AE10" i="2"/>
  <c r="H35" i="1"/>
  <c r="H37" i="1" s="1"/>
  <c r="G35" i="1"/>
  <c r="G37" i="1" s="1"/>
  <c r="H25" i="1"/>
  <c r="G25" i="1"/>
  <c r="I19" i="1"/>
  <c r="I14" i="1"/>
  <c r="H19" i="1"/>
  <c r="X15" i="2"/>
  <c r="K183" i="5"/>
  <c r="O183" i="5" s="1"/>
  <c r="K181" i="5"/>
  <c r="O181" i="5" s="1"/>
  <c r="K179" i="5"/>
  <c r="K178" i="5"/>
  <c r="K163" i="5"/>
  <c r="O163" i="5" s="1"/>
  <c r="K162" i="5"/>
  <c r="K161" i="5"/>
  <c r="M160" i="5"/>
  <c r="K159" i="5"/>
  <c r="N160" i="5"/>
  <c r="Q160" i="5"/>
  <c r="K154" i="5"/>
  <c r="K150" i="5"/>
  <c r="K149" i="5"/>
  <c r="M149" i="5" s="1"/>
  <c r="K151" i="5"/>
  <c r="N149" i="5"/>
  <c r="O111" i="5"/>
  <c r="K119" i="5"/>
  <c r="O119" i="5" s="1"/>
  <c r="K120" i="5"/>
  <c r="K121" i="5"/>
  <c r="K123" i="5"/>
  <c r="K93" i="5"/>
  <c r="K94" i="5"/>
  <c r="K92" i="5"/>
  <c r="K91" i="5"/>
  <c r="O91" i="5" s="1"/>
  <c r="K90" i="5"/>
  <c r="K76" i="5"/>
  <c r="K77" i="5"/>
  <c r="K75" i="5"/>
  <c r="K74" i="5"/>
  <c r="K73" i="5"/>
  <c r="K72" i="5"/>
  <c r="K65" i="5"/>
  <c r="O65" i="5" s="1"/>
  <c r="K63" i="5"/>
  <c r="O63" i="5" s="1"/>
  <c r="K62" i="5"/>
  <c r="K61" i="5"/>
  <c r="K49" i="5"/>
  <c r="K50" i="5"/>
  <c r="K48" i="5"/>
  <c r="K47" i="5"/>
  <c r="O47" i="5" s="1"/>
  <c r="K46" i="5"/>
  <c r="O46" i="5" s="1"/>
  <c r="K45" i="5"/>
  <c r="K44" i="5"/>
  <c r="K33" i="5"/>
  <c r="O33" i="5" s="1"/>
  <c r="K37" i="5"/>
  <c r="K36" i="5"/>
  <c r="K17" i="5"/>
  <c r="K18" i="5"/>
  <c r="K19" i="5"/>
  <c r="K20" i="5"/>
  <c r="K15" i="5"/>
  <c r="K14" i="5"/>
  <c r="J83" i="1"/>
  <c r="AD241" i="1"/>
  <c r="Y241" i="1"/>
  <c r="AD231" i="1"/>
  <c r="AD230" i="1"/>
  <c r="Y231" i="1"/>
  <c r="Y230" i="1"/>
  <c r="AD219" i="1"/>
  <c r="AD218" i="1"/>
  <c r="Y219" i="1"/>
  <c r="Y218" i="1"/>
  <c r="I257" i="1"/>
  <c r="H257" i="1"/>
  <c r="G257" i="1"/>
  <c r="F257" i="1"/>
  <c r="E257" i="1"/>
  <c r="I256" i="1"/>
  <c r="H256" i="1"/>
  <c r="F256" i="1"/>
  <c r="E256" i="1"/>
  <c r="F247" i="1"/>
  <c r="E247" i="1"/>
  <c r="AC241" i="1"/>
  <c r="K238" i="1"/>
  <c r="K237" i="1"/>
  <c r="AC231" i="1"/>
  <c r="X231" i="1"/>
  <c r="O231" i="1"/>
  <c r="O149" i="5" l="1"/>
  <c r="T149" i="5"/>
  <c r="U149" i="5" s="1"/>
  <c r="V149" i="5" s="1"/>
  <c r="O160" i="5"/>
  <c r="T160" i="5" s="1"/>
  <c r="U160" i="5" s="1"/>
  <c r="V160" i="5" s="1"/>
  <c r="K226" i="1"/>
  <c r="AC218" i="1"/>
  <c r="X218" i="1"/>
  <c r="O218" i="1"/>
  <c r="P211" i="1" l="1"/>
  <c r="F206" i="1"/>
  <c r="E206" i="1"/>
  <c r="K203" i="1"/>
  <c r="AE188" i="1"/>
  <c r="AD188" i="1"/>
  <c r="Z188" i="1"/>
  <c r="Y188" i="1"/>
  <c r="K188" i="1"/>
  <c r="J188" i="1" s="1"/>
  <c r="I187" i="1"/>
  <c r="I197" i="1" s="1"/>
  <c r="H187" i="1"/>
  <c r="H197" i="1" s="1"/>
  <c r="G187" i="1"/>
  <c r="G197" i="1" s="1"/>
  <c r="F187" i="1"/>
  <c r="E187" i="1"/>
  <c r="R188" i="1"/>
  <c r="P188" i="1"/>
  <c r="K199" i="1"/>
  <c r="K198" i="1"/>
  <c r="K194" i="1"/>
  <c r="K187" i="1"/>
  <c r="K186" i="1"/>
  <c r="K182" i="1"/>
  <c r="K173" i="1"/>
  <c r="I168" i="1"/>
  <c r="H168" i="1"/>
  <c r="F168" i="1"/>
  <c r="E168" i="1"/>
  <c r="I161" i="1"/>
  <c r="H161" i="1"/>
  <c r="G161" i="1"/>
  <c r="F161" i="1"/>
  <c r="E161" i="1"/>
  <c r="K158" i="1"/>
  <c r="K155" i="1"/>
  <c r="K152" i="1"/>
  <c r="K145" i="1"/>
  <c r="K144" i="1"/>
  <c r="K141" i="1"/>
  <c r="K131" i="1"/>
  <c r="I83" i="1"/>
  <c r="H83" i="1"/>
  <c r="G83" i="1"/>
  <c r="F83" i="1"/>
  <c r="E83" i="1"/>
  <c r="I42" i="1"/>
  <c r="H42" i="1"/>
  <c r="F42" i="1"/>
  <c r="E42" i="1"/>
  <c r="I124" i="1"/>
  <c r="H124" i="1"/>
  <c r="F124" i="1"/>
  <c r="E124" i="1"/>
  <c r="I123" i="1"/>
  <c r="H123" i="1"/>
  <c r="F123" i="1"/>
  <c r="E123" i="1"/>
  <c r="F120" i="1"/>
  <c r="E120" i="1"/>
  <c r="K117" i="1"/>
  <c r="K112" i="1"/>
  <c r="K109" i="1"/>
  <c r="K103" i="1"/>
  <c r="K102" i="1"/>
  <c r="K99" i="1"/>
  <c r="K91" i="1"/>
  <c r="F81" i="1"/>
  <c r="F80" i="1"/>
  <c r="E80" i="1"/>
  <c r="K77" i="1"/>
  <c r="K74" i="1"/>
  <c r="K71" i="1"/>
  <c r="K63" i="1"/>
  <c r="K62" i="1"/>
  <c r="K59" i="1"/>
  <c r="K49" i="1"/>
  <c r="F38" i="1"/>
  <c r="E38" i="1"/>
  <c r="K35" i="1"/>
  <c r="K34" i="1"/>
  <c r="K31" i="1"/>
  <c r="K28" i="1"/>
  <c r="K22" i="1"/>
  <c r="K19" i="1"/>
  <c r="K9" i="1"/>
  <c r="AC188" i="1" l="1"/>
  <c r="AB188" i="1" s="1"/>
  <c r="U188" i="1" s="1"/>
  <c r="X188" i="1"/>
  <c r="W188" i="1" s="1"/>
  <c r="T188" i="1" s="1"/>
  <c r="O188" i="1"/>
  <c r="N188" i="1" s="1"/>
  <c r="J154" i="5"/>
  <c r="J61" i="5"/>
  <c r="J63" i="5"/>
  <c r="J65" i="5"/>
  <c r="J62" i="5"/>
  <c r="M191" i="5" l="1"/>
  <c r="M190" i="5"/>
  <c r="G191" i="5"/>
  <c r="M170" i="5"/>
  <c r="N170" i="5"/>
  <c r="M171" i="5"/>
  <c r="G171" i="5"/>
  <c r="M86" i="5"/>
  <c r="N85" i="5"/>
  <c r="M85" i="5"/>
  <c r="I87" i="5"/>
  <c r="H87" i="5"/>
  <c r="G87" i="5"/>
  <c r="G86" i="5"/>
  <c r="N86" i="5" s="1"/>
  <c r="M139" i="5"/>
  <c r="I138" i="5"/>
  <c r="I144" i="5" s="1"/>
  <c r="H138" i="5"/>
  <c r="H144" i="5" s="1"/>
  <c r="G139" i="5"/>
  <c r="N139" i="5" l="1"/>
  <c r="N145" i="5" s="1"/>
  <c r="G145" i="5"/>
  <c r="N191" i="5"/>
  <c r="N195" i="5" s="1"/>
  <c r="G195" i="5"/>
  <c r="G199" i="5"/>
  <c r="G175" i="5"/>
  <c r="N171" i="5"/>
  <c r="I80" i="5"/>
  <c r="H80" i="5"/>
  <c r="G80" i="5"/>
  <c r="I79" i="5"/>
  <c r="H79" i="5"/>
  <c r="G79" i="5"/>
  <c r="H17" i="4" l="1"/>
  <c r="T145" i="5"/>
  <c r="N199" i="5"/>
  <c r="T195" i="5"/>
  <c r="N175" i="5"/>
  <c r="U214" i="1"/>
  <c r="AE199" i="1"/>
  <c r="AD199" i="1"/>
  <c r="AC199" i="1"/>
  <c r="Z199" i="1"/>
  <c r="Y199" i="1"/>
  <c r="X199" i="1"/>
  <c r="AE187" i="1"/>
  <c r="AD187" i="1"/>
  <c r="AC187" i="1"/>
  <c r="Z187" i="1"/>
  <c r="Y187" i="1"/>
  <c r="X187" i="1"/>
  <c r="P187" i="1"/>
  <c r="AE182" i="1"/>
  <c r="AD182" i="1"/>
  <c r="AC182" i="1"/>
  <c r="Z182" i="1"/>
  <c r="Y182" i="1"/>
  <c r="X182" i="1"/>
  <c r="P182" i="1"/>
  <c r="U168" i="1"/>
  <c r="T168" i="1"/>
  <c r="AE155" i="1"/>
  <c r="AD155" i="1"/>
  <c r="AC155" i="1"/>
  <c r="AE152" i="1"/>
  <c r="AD152" i="1"/>
  <c r="AC152" i="1"/>
  <c r="Z152" i="1"/>
  <c r="Y152" i="1"/>
  <c r="X152" i="1"/>
  <c r="P152" i="1"/>
  <c r="AE145" i="1"/>
  <c r="AD145" i="1"/>
  <c r="AC145" i="1"/>
  <c r="Z145" i="1"/>
  <c r="Y145" i="1"/>
  <c r="X145" i="1"/>
  <c r="P145" i="1"/>
  <c r="P144" i="1"/>
  <c r="AC131" i="1"/>
  <c r="AD131" i="1"/>
  <c r="AE131" i="1"/>
  <c r="P131" i="1"/>
  <c r="U124" i="1"/>
  <c r="T124" i="1"/>
  <c r="U123" i="1"/>
  <c r="T123" i="1"/>
  <c r="AE117" i="1"/>
  <c r="AD117" i="1"/>
  <c r="AC117" i="1"/>
  <c r="Z117" i="1"/>
  <c r="Y117" i="1"/>
  <c r="X117" i="1"/>
  <c r="P112" i="1"/>
  <c r="AE109" i="1"/>
  <c r="AD109" i="1"/>
  <c r="AC109" i="1"/>
  <c r="Z109" i="1"/>
  <c r="Y109" i="1"/>
  <c r="X109" i="1"/>
  <c r="P109" i="1"/>
  <c r="P83" i="1"/>
  <c r="AE77" i="1"/>
  <c r="AD77" i="1"/>
  <c r="AC77" i="1"/>
  <c r="Z77" i="1"/>
  <c r="Y77" i="1"/>
  <c r="X77" i="1"/>
  <c r="AE74" i="1"/>
  <c r="AD74" i="1"/>
  <c r="AC74" i="1"/>
  <c r="Z74" i="1"/>
  <c r="Y74" i="1"/>
  <c r="X74" i="1"/>
  <c r="P74" i="1"/>
  <c r="AE71" i="1"/>
  <c r="AD71" i="1"/>
  <c r="AC71" i="1"/>
  <c r="Z71" i="1"/>
  <c r="Y71" i="1"/>
  <c r="X71" i="1"/>
  <c r="U69" i="1"/>
  <c r="T69" i="1"/>
  <c r="O69" i="1"/>
  <c r="N69" i="1" s="1"/>
  <c r="AE63" i="1"/>
  <c r="AD63" i="1"/>
  <c r="AC63" i="1"/>
  <c r="Z63" i="1"/>
  <c r="Y63" i="1"/>
  <c r="X63" i="1"/>
  <c r="AE59" i="1"/>
  <c r="AD59" i="1"/>
  <c r="AC59" i="1"/>
  <c r="Z59" i="1"/>
  <c r="Y59" i="1"/>
  <c r="X59" i="1"/>
  <c r="U42" i="1"/>
  <c r="T42" i="1"/>
  <c r="U41" i="1"/>
  <c r="T41" i="1"/>
  <c r="P35" i="1"/>
  <c r="AE34" i="1"/>
  <c r="AD34" i="1"/>
  <c r="AC34" i="1"/>
  <c r="Z34" i="1"/>
  <c r="Y34" i="1"/>
  <c r="X34" i="1"/>
  <c r="P34" i="1"/>
  <c r="P31" i="1"/>
  <c r="P28" i="1"/>
  <c r="P19" i="1"/>
  <c r="W117" i="1" l="1"/>
  <c r="T117" i="1" s="1"/>
  <c r="W145" i="1"/>
  <c r="T145" i="1" s="1"/>
  <c r="W34" i="1"/>
  <c r="T34" i="1" s="1"/>
  <c r="W77" i="1"/>
  <c r="T77" i="1" s="1"/>
  <c r="W187" i="1"/>
  <c r="T187" i="1" s="1"/>
  <c r="H20" i="4"/>
  <c r="T199" i="5"/>
  <c r="T175" i="5"/>
  <c r="H19" i="4"/>
  <c r="W109" i="1"/>
  <c r="T109" i="1" s="1"/>
  <c r="W59" i="1"/>
  <c r="T59" i="1" s="1"/>
  <c r="AB145" i="1"/>
  <c r="U145" i="1" s="1"/>
  <c r="AB187" i="1"/>
  <c r="U187" i="1" s="1"/>
  <c r="W74" i="1"/>
  <c r="T74" i="1" s="1"/>
  <c r="W152" i="1"/>
  <c r="T152" i="1" s="1"/>
  <c r="AB34" i="1"/>
  <c r="U34" i="1" s="1"/>
  <c r="AB59" i="1"/>
  <c r="U59" i="1" s="1"/>
  <c r="W63" i="1"/>
  <c r="T63" i="1" s="1"/>
  <c r="AB71" i="1"/>
  <c r="U71" i="1" s="1"/>
  <c r="AB77" i="1"/>
  <c r="U77" i="1" s="1"/>
  <c r="W199" i="1"/>
  <c r="T199" i="1" s="1"/>
  <c r="AB199" i="1"/>
  <c r="U199" i="1" s="1"/>
  <c r="W182" i="1"/>
  <c r="T182" i="1" s="1"/>
  <c r="AB182" i="1"/>
  <c r="U182" i="1" s="1"/>
  <c r="AB155" i="1"/>
  <c r="U155" i="1" s="1"/>
  <c r="AB152" i="1"/>
  <c r="U152" i="1" s="1"/>
  <c r="AB131" i="1"/>
  <c r="U131" i="1" s="1"/>
  <c r="AB117" i="1"/>
  <c r="U117" i="1" s="1"/>
  <c r="AB109" i="1"/>
  <c r="U109" i="1" s="1"/>
  <c r="AB74" i="1"/>
  <c r="U74" i="1" s="1"/>
  <c r="W71" i="1"/>
  <c r="T71" i="1" s="1"/>
  <c r="AB63" i="1"/>
  <c r="U63" i="1" s="1"/>
  <c r="U244" i="1"/>
  <c r="U243" i="1"/>
  <c r="T244" i="1"/>
  <c r="T243" i="1"/>
  <c r="I233" i="1"/>
  <c r="H233" i="1"/>
  <c r="U227" i="1"/>
  <c r="T227" i="1"/>
  <c r="U226" i="1"/>
  <c r="T226" i="1"/>
  <c r="I222" i="1"/>
  <c r="U222" i="1" s="1"/>
  <c r="T223" i="1"/>
  <c r="P198" i="1"/>
  <c r="R194" i="1"/>
  <c r="P194" i="1"/>
  <c r="P173" i="1"/>
  <c r="I134" i="1"/>
  <c r="H134" i="1"/>
  <c r="P141" i="1"/>
  <c r="P103" i="1"/>
  <c r="P102" i="1"/>
  <c r="I97" i="1"/>
  <c r="H97" i="1"/>
  <c r="P91" i="1"/>
  <c r="P99" i="1"/>
  <c r="I25" i="1"/>
  <c r="P22" i="1"/>
  <c r="P9" i="1"/>
  <c r="Y99" i="1" l="1"/>
  <c r="Z99" i="1"/>
  <c r="X99" i="1"/>
  <c r="Z103" i="1"/>
  <c r="X103" i="1"/>
  <c r="Y103" i="1"/>
  <c r="Y173" i="1"/>
  <c r="Z173" i="1"/>
  <c r="X173" i="1"/>
  <c r="P186" i="1"/>
  <c r="AD186" i="1"/>
  <c r="AE186" i="1"/>
  <c r="AC186" i="1"/>
  <c r="AD198" i="1"/>
  <c r="AE198" i="1"/>
  <c r="AC198" i="1"/>
  <c r="AE99" i="1"/>
  <c r="AC99" i="1"/>
  <c r="AD99" i="1"/>
  <c r="AD103" i="1"/>
  <c r="AE103" i="1"/>
  <c r="AC103" i="1"/>
  <c r="AE141" i="1"/>
  <c r="AC141" i="1"/>
  <c r="AD141" i="1"/>
  <c r="AE173" i="1"/>
  <c r="AC173" i="1"/>
  <c r="AD173" i="1"/>
  <c r="Y186" i="1"/>
  <c r="Z186" i="1"/>
  <c r="X186" i="1"/>
  <c r="Z198" i="1"/>
  <c r="X198" i="1"/>
  <c r="Y198" i="1"/>
  <c r="I78" i="5"/>
  <c r="H78" i="5"/>
  <c r="G78" i="5"/>
  <c r="W198" i="1" l="1"/>
  <c r="T198" i="1" s="1"/>
  <c r="W186" i="1"/>
  <c r="T186" i="1" s="1"/>
  <c r="AB186" i="1"/>
  <c r="U186" i="1" s="1"/>
  <c r="AB173" i="1"/>
  <c r="U173" i="1" s="1"/>
  <c r="AB141" i="1"/>
  <c r="U141" i="1" s="1"/>
  <c r="AB103" i="1"/>
  <c r="U103" i="1" s="1"/>
  <c r="AB99" i="1"/>
  <c r="U99" i="1" s="1"/>
  <c r="AB198" i="1"/>
  <c r="U198" i="1" s="1"/>
  <c r="W173" i="1"/>
  <c r="T173" i="1" s="1"/>
  <c r="W103" i="1"/>
  <c r="T103" i="1" s="1"/>
  <c r="W99" i="1"/>
  <c r="T99" i="1" s="1"/>
  <c r="G72" i="5"/>
  <c r="I76" i="5"/>
  <c r="H76" i="5"/>
  <c r="G76" i="5"/>
  <c r="G74" i="5"/>
  <c r="O74" i="5" s="1"/>
  <c r="G68" i="5"/>
  <c r="AD237" i="1"/>
  <c r="AC237" i="1"/>
  <c r="Y237" i="1"/>
  <c r="X237" i="1"/>
  <c r="G83" i="5" l="1"/>
  <c r="W237" i="1"/>
  <c r="T237" i="1" s="1"/>
  <c r="AB237" i="1"/>
  <c r="U237" i="1" s="1"/>
  <c r="X16" i="2"/>
  <c r="H18" i="7" l="1"/>
  <c r="G18" i="7"/>
  <c r="J18" i="7" l="1"/>
  <c r="N11" i="7" l="1"/>
  <c r="L11" i="7"/>
  <c r="Q46" i="5" l="1"/>
  <c r="I54" i="5"/>
  <c r="H54" i="5"/>
  <c r="G54" i="5"/>
  <c r="G55" i="5" s="1"/>
  <c r="I55" i="5" l="1"/>
  <c r="V55" i="5" s="1"/>
  <c r="V54" i="5"/>
  <c r="H55" i="5"/>
  <c r="U55" i="5" s="1"/>
  <c r="U54" i="5"/>
  <c r="N181" i="5"/>
  <c r="M152" i="5" l="1"/>
  <c r="N152" i="5"/>
  <c r="O152" i="5"/>
  <c r="Q152" i="5"/>
  <c r="N118" i="5"/>
  <c r="N115" i="5"/>
  <c r="N91" i="5"/>
  <c r="N63" i="5"/>
  <c r="M49" i="5"/>
  <c r="N49" i="5"/>
  <c r="Q49" i="5"/>
  <c r="N47" i="5"/>
  <c r="N44" i="5"/>
  <c r="N33" i="5"/>
  <c r="N30" i="5"/>
  <c r="M19" i="5"/>
  <c r="N19" i="5"/>
  <c r="Q19" i="5"/>
  <c r="T152" i="5" l="1"/>
  <c r="U152" i="5" s="1"/>
  <c r="V152" i="5" s="1"/>
  <c r="O49" i="5"/>
  <c r="T49" i="5" s="1"/>
  <c r="U49" i="5" s="1"/>
  <c r="V49" i="5" s="1"/>
  <c r="O19" i="5"/>
  <c r="T19" i="5" s="1"/>
  <c r="U19" i="5" s="1"/>
  <c r="V19" i="5" s="1"/>
  <c r="H154" i="5" l="1"/>
  <c r="H155" i="5" s="1"/>
  <c r="U155" i="5" s="1"/>
  <c r="I154" i="5"/>
  <c r="I155" i="5" s="1"/>
  <c r="V155" i="5" s="1"/>
  <c r="G154" i="5"/>
  <c r="G155" i="5" s="1"/>
  <c r="Q155" i="5" s="1"/>
  <c r="H207" i="1"/>
  <c r="I207" i="1"/>
  <c r="G207" i="1"/>
  <c r="I203" i="1"/>
  <c r="G203" i="1"/>
  <c r="P203" i="1" s="1"/>
  <c r="H203" i="1"/>
  <c r="G199" i="1"/>
  <c r="P199" i="1" s="1"/>
  <c r="H221" i="1"/>
  <c r="T221" i="1" s="1"/>
  <c r="G111" i="1"/>
  <c r="H52" i="1"/>
  <c r="I52" i="1"/>
  <c r="I28" i="1"/>
  <c r="H28" i="1"/>
  <c r="I39" i="1"/>
  <c r="H39" i="1"/>
  <c r="G39" i="1"/>
  <c r="O154" i="5" l="1"/>
  <c r="Z28" i="1"/>
  <c r="X28" i="1"/>
  <c r="Y28" i="1"/>
  <c r="AD28" i="1"/>
  <c r="AE28" i="1"/>
  <c r="AC28" i="1"/>
  <c r="H111" i="1"/>
  <c r="N150" i="5"/>
  <c r="H34" i="5"/>
  <c r="G22" i="5"/>
  <c r="I162" i="5"/>
  <c r="I168" i="5" s="1"/>
  <c r="H162" i="5"/>
  <c r="H168" i="5" s="1"/>
  <c r="G162" i="5"/>
  <c r="G168" i="5" s="1"/>
  <c r="AB28" i="1" l="1"/>
  <c r="U28" i="1" s="1"/>
  <c r="W28" i="1"/>
  <c r="T28" i="1" s="1"/>
  <c r="H22" i="5"/>
  <c r="I22" i="5"/>
  <c r="I92" i="5"/>
  <c r="H92" i="5"/>
  <c r="G92" i="5"/>
  <c r="I74" i="5"/>
  <c r="H74" i="5"/>
  <c r="I72" i="5"/>
  <c r="H72" i="5"/>
  <c r="I64" i="5"/>
  <c r="H64" i="5"/>
  <c r="I65" i="5"/>
  <c r="N74" i="5" l="1"/>
  <c r="H65" i="5"/>
  <c r="G23" i="5" l="1"/>
  <c r="L41" i="5" l="1"/>
  <c r="G154" i="1"/>
  <c r="CW18" i="7" l="1"/>
  <c r="CU10" i="7" s="1"/>
  <c r="CR18" i="7" l="1"/>
  <c r="CP10" i="7" s="1"/>
  <c r="CW9" i="7" s="1"/>
  <c r="H15" i="4" l="1"/>
  <c r="H21" i="4" s="1"/>
  <c r="N209" i="5" l="1"/>
  <c r="CM14" i="7"/>
  <c r="CM16" i="7"/>
  <c r="CM15" i="7"/>
  <c r="CM13" i="7"/>
  <c r="CM12" i="7"/>
  <c r="CM11" i="7"/>
  <c r="CI14" i="7"/>
  <c r="CI13" i="7"/>
  <c r="CI16" i="7"/>
  <c r="CI15" i="7"/>
  <c r="CI12" i="7"/>
  <c r="CI11" i="7"/>
  <c r="CL15" i="7"/>
  <c r="N15" i="7" s="1"/>
  <c r="F17" i="8" s="1"/>
  <c r="CH15" i="7"/>
  <c r="L15" i="7" s="1"/>
  <c r="E17" i="8" s="1"/>
  <c r="CL16" i="7"/>
  <c r="N16" i="7" s="1"/>
  <c r="F18" i="8" s="1"/>
  <c r="CH16" i="7"/>
  <c r="CL14" i="7"/>
  <c r="CH14" i="7"/>
  <c r="CL13" i="7"/>
  <c r="CH13" i="7"/>
  <c r="CL12" i="7"/>
  <c r="CH12" i="7"/>
  <c r="CL11" i="7"/>
  <c r="CH11" i="7"/>
  <c r="CJ13" i="7"/>
  <c r="CE16" i="7"/>
  <c r="CE13" i="7"/>
  <c r="CE15" i="7"/>
  <c r="CE14" i="7"/>
  <c r="CE12" i="7"/>
  <c r="CE11" i="7"/>
  <c r="CF18" i="7"/>
  <c r="CD16" i="7"/>
  <c r="CD15" i="7"/>
  <c r="CD14" i="7"/>
  <c r="CD13" i="7"/>
  <c r="CD12" i="7"/>
  <c r="CD11" i="7"/>
  <c r="HB62" i="7"/>
  <c r="HA62" i="7"/>
  <c r="HC61" i="7"/>
  <c r="HC62" i="7" s="1"/>
  <c r="HB60" i="7"/>
  <c r="HA60" i="7"/>
  <c r="HA64" i="7" s="1"/>
  <c r="HA65" i="7" s="1"/>
  <c r="GU57" i="7"/>
  <c r="GU58" i="7" s="1"/>
  <c r="GW50" i="7" s="1"/>
  <c r="HC54" i="7"/>
  <c r="HC53" i="7"/>
  <c r="GZ53" i="7"/>
  <c r="HA53" i="7" s="1"/>
  <c r="GW53" i="7"/>
  <c r="GV52" i="7"/>
  <c r="GV50" i="7"/>
  <c r="HT38" i="7"/>
  <c r="HS38" i="7"/>
  <c r="HT36" i="7"/>
  <c r="HS36" i="7"/>
  <c r="HS40" i="7" s="1"/>
  <c r="HS41" i="7" s="1"/>
  <c r="JI35" i="7"/>
  <c r="JI32" i="7"/>
  <c r="N31" i="7"/>
  <c r="L31" i="7"/>
  <c r="HU30" i="7"/>
  <c r="HU29" i="7"/>
  <c r="HR29" i="7"/>
  <c r="HS29" i="7" s="1"/>
  <c r="HD28" i="7"/>
  <c r="HC31" i="7" s="1"/>
  <c r="JJ27" i="7"/>
  <c r="JI27" i="7"/>
  <c r="HH26" i="7"/>
  <c r="HG26" i="7"/>
  <c r="FQ25" i="7"/>
  <c r="FS25" i="7" s="1"/>
  <c r="HA24" i="7"/>
  <c r="GZ24" i="7"/>
  <c r="L23" i="7"/>
  <c r="N23" i="7" s="1"/>
  <c r="H23" i="7"/>
  <c r="G23" i="7"/>
  <c r="F23" i="7"/>
  <c r="E23" i="7"/>
  <c r="D23" i="7"/>
  <c r="H22" i="7"/>
  <c r="G22" i="7"/>
  <c r="F22" i="7"/>
  <c r="E22" i="7"/>
  <c r="D22" i="7"/>
  <c r="HA20" i="7"/>
  <c r="GZ20" i="7"/>
  <c r="H20" i="7"/>
  <c r="G20" i="7"/>
  <c r="F20" i="7"/>
  <c r="E20" i="7"/>
  <c r="D20" i="7"/>
  <c r="HS19" i="7"/>
  <c r="HE19" i="7"/>
  <c r="FL19" i="7"/>
  <c r="FM19" i="7" s="1"/>
  <c r="I19" i="7"/>
  <c r="F19" i="7"/>
  <c r="E19" i="7"/>
  <c r="D19" i="7"/>
  <c r="JY18" i="7"/>
  <c r="JZ18" i="7" s="1"/>
  <c r="HD18" i="7"/>
  <c r="HE24" i="7" s="1"/>
  <c r="HC18" i="7"/>
  <c r="HA18" i="7"/>
  <c r="GZ18" i="7"/>
  <c r="GC18" i="7"/>
  <c r="FZ18" i="7"/>
  <c r="EZ18" i="7"/>
  <c r="FA18" i="7" s="1"/>
  <c r="EO18" i="7"/>
  <c r="EP18" i="7" s="1"/>
  <c r="EC18" i="7"/>
  <c r="ED18" i="7" s="1"/>
  <c r="DP18" i="7"/>
  <c r="DQ18" i="7" s="1"/>
  <c r="DH18" i="7"/>
  <c r="DB18" i="7"/>
  <c r="BW18" i="7"/>
  <c r="BS18" i="7"/>
  <c r="BH18" i="7"/>
  <c r="BB18" i="7"/>
  <c r="BA18" i="7"/>
  <c r="AX18" i="7"/>
  <c r="AW18" i="7"/>
  <c r="AU18" i="7"/>
  <c r="M19" i="7"/>
  <c r="K19" i="7"/>
  <c r="H19" i="7"/>
  <c r="G19" i="7"/>
  <c r="HU37" i="7"/>
  <c r="HU38" i="7" s="1"/>
  <c r="HB18" i="7"/>
  <c r="FM18" i="7"/>
  <c r="JY17" i="7"/>
  <c r="JF17" i="7"/>
  <c r="JE17" i="7"/>
  <c r="JC17" i="7"/>
  <c r="DJ17" i="7"/>
  <c r="CZ17" i="7"/>
  <c r="BA17" i="7"/>
  <c r="AW17" i="7"/>
  <c r="AS17" i="7"/>
  <c r="F17" i="7"/>
  <c r="E17" i="7"/>
  <c r="D17" i="7"/>
  <c r="JG16" i="7"/>
  <c r="JF16" i="7" s="1"/>
  <c r="HL16" i="7"/>
  <c r="HG16" i="7"/>
  <c r="HB16" i="7"/>
  <c r="GB16" i="7"/>
  <c r="GA16" i="7"/>
  <c r="FY16" i="7"/>
  <c r="FX16" i="7"/>
  <c r="GC16" i="7" s="1"/>
  <c r="FN16" i="7"/>
  <c r="FL16" i="7"/>
  <c r="FM16" i="7" s="1"/>
  <c r="FB16" i="7"/>
  <c r="EZ16" i="7"/>
  <c r="FA16" i="7" s="1"/>
  <c r="EQ16" i="7"/>
  <c r="EN15" i="7" s="1"/>
  <c r="EO16" i="7"/>
  <c r="EP16" i="7" s="1"/>
  <c r="EE16" i="7"/>
  <c r="EI15" i="7" s="1"/>
  <c r="EC16" i="7"/>
  <c r="ED16" i="7" s="1"/>
  <c r="DV16" i="7"/>
  <c r="DW16" i="7" s="1"/>
  <c r="DP16" i="7"/>
  <c r="DQ16" i="7" s="1"/>
  <c r="DH16" i="7"/>
  <c r="DB16" i="7"/>
  <c r="BB16" i="7"/>
  <c r="BC16" i="7" s="1"/>
  <c r="AX16" i="7"/>
  <c r="AY16" i="7" s="1"/>
  <c r="AU16" i="7"/>
  <c r="JG15" i="7"/>
  <c r="HX15" i="7"/>
  <c r="GB15" i="7"/>
  <c r="GA15" i="7"/>
  <c r="FY15" i="7"/>
  <c r="FX15" i="7"/>
  <c r="FN15" i="7"/>
  <c r="GU15" i="7" s="1"/>
  <c r="FL15" i="7"/>
  <c r="FM15" i="7" s="1"/>
  <c r="FB15" i="7"/>
  <c r="EZ15" i="7"/>
  <c r="FA15" i="7" s="1"/>
  <c r="ET15" i="7"/>
  <c r="EO15" i="7"/>
  <c r="EP15" i="7" s="1"/>
  <c r="EC15" i="7"/>
  <c r="ED15" i="7" s="1"/>
  <c r="DV15" i="7"/>
  <c r="DW15" i="7" s="1"/>
  <c r="DP15" i="7"/>
  <c r="DQ15" i="7" s="1"/>
  <c r="DO15" i="7"/>
  <c r="DH15" i="7"/>
  <c r="DF15" i="7"/>
  <c r="DB15" i="7"/>
  <c r="BB15" i="7"/>
  <c r="BC15" i="7" s="1"/>
  <c r="AX15" i="7"/>
  <c r="AY15" i="7" s="1"/>
  <c r="AU15" i="7"/>
  <c r="JG14" i="7"/>
  <c r="HX14" i="7"/>
  <c r="GB14" i="7"/>
  <c r="GA14" i="7"/>
  <c r="FY14" i="7"/>
  <c r="FX14" i="7"/>
  <c r="FN14" i="7"/>
  <c r="FL14" i="7"/>
  <c r="FM14" i="7" s="1"/>
  <c r="FB14" i="7"/>
  <c r="EZ14" i="7"/>
  <c r="FA14" i="7" s="1"/>
  <c r="EQ14" i="7"/>
  <c r="EO14" i="7"/>
  <c r="EP14" i="7" s="1"/>
  <c r="EE14" i="7"/>
  <c r="EC14" i="7"/>
  <c r="ED14" i="7" s="1"/>
  <c r="DV14" i="7"/>
  <c r="DW14" i="7" s="1"/>
  <c r="DT14" i="7"/>
  <c r="DP14" i="7"/>
  <c r="DQ14" i="7" s="1"/>
  <c r="DM14" i="7"/>
  <c r="DL14" i="7"/>
  <c r="DH14" i="7"/>
  <c r="DB14" i="7"/>
  <c r="BB14" i="7"/>
  <c r="BC14" i="7" s="1"/>
  <c r="AX14" i="7"/>
  <c r="AY14" i="7" s="1"/>
  <c r="AU14" i="7"/>
  <c r="L14" i="7"/>
  <c r="E16" i="8" s="1"/>
  <c r="JG13" i="7"/>
  <c r="JF13" i="7" s="1"/>
  <c r="HX13" i="7"/>
  <c r="HL13" i="7"/>
  <c r="HG13" i="7"/>
  <c r="HC13" i="7"/>
  <c r="HB13" i="7"/>
  <c r="GB13" i="7"/>
  <c r="GA13" i="7"/>
  <c r="FY13" i="7"/>
  <c r="FX13" i="7"/>
  <c r="FN13" i="7"/>
  <c r="FL13" i="7"/>
  <c r="FM13" i="7" s="1"/>
  <c r="FB13" i="7"/>
  <c r="EZ13" i="7"/>
  <c r="FA13" i="7" s="1"/>
  <c r="EQ13" i="7"/>
  <c r="EO13" i="7"/>
  <c r="EP13" i="7" s="1"/>
  <c r="EE13" i="7"/>
  <c r="EC13" i="7"/>
  <c r="ED13" i="7" s="1"/>
  <c r="DV13" i="7"/>
  <c r="DW13" i="7" s="1"/>
  <c r="DT13" i="7"/>
  <c r="DP13" i="7"/>
  <c r="DQ13" i="7" s="1"/>
  <c r="DL13" i="7"/>
  <c r="DH13" i="7"/>
  <c r="DB13" i="7"/>
  <c r="BC13" i="7"/>
  <c r="AX13" i="7"/>
  <c r="AY13" i="7" s="1"/>
  <c r="AU13" i="7"/>
  <c r="JG12" i="7"/>
  <c r="HX12" i="7"/>
  <c r="HC12" i="7"/>
  <c r="GB12" i="7"/>
  <c r="GA12" i="7"/>
  <c r="FY12" i="7"/>
  <c r="FX12" i="7"/>
  <c r="FL12" i="7"/>
  <c r="FM12" i="7" s="1"/>
  <c r="EZ12" i="7"/>
  <c r="FA12" i="7" s="1"/>
  <c r="EO12" i="7"/>
  <c r="EP12" i="7" s="1"/>
  <c r="EC12" i="7"/>
  <c r="ED12" i="7" s="1"/>
  <c r="DV12" i="7"/>
  <c r="DW12" i="7" s="1"/>
  <c r="DP12" i="7"/>
  <c r="DQ12" i="7" s="1"/>
  <c r="DH12" i="7"/>
  <c r="DB12" i="7"/>
  <c r="BB12" i="7"/>
  <c r="BC12" i="7" s="1"/>
  <c r="AX12" i="7"/>
  <c r="AY12" i="7" s="1"/>
  <c r="AU12" i="7"/>
  <c r="JG11" i="7"/>
  <c r="JF11" i="7" s="1"/>
  <c r="ID11" i="7"/>
  <c r="HZ11" i="7"/>
  <c r="HX11" i="7"/>
  <c r="HV11" i="7"/>
  <c r="HV12" i="7" s="1"/>
  <c r="HC11" i="7"/>
  <c r="HH11" i="7" s="1"/>
  <c r="GB11" i="7"/>
  <c r="FY11" i="7"/>
  <c r="FX11" i="7"/>
  <c r="FL11" i="7"/>
  <c r="FM11" i="7" s="1"/>
  <c r="EZ11" i="7"/>
  <c r="FA11" i="7" s="1"/>
  <c r="EO11" i="7"/>
  <c r="EP11" i="7" s="1"/>
  <c r="EC11" i="7"/>
  <c r="ED11" i="7" s="1"/>
  <c r="DV11" i="7"/>
  <c r="DW11" i="7" s="1"/>
  <c r="DP11" i="7"/>
  <c r="DQ11" i="7" s="1"/>
  <c r="DO11" i="7"/>
  <c r="DH11" i="7"/>
  <c r="DF11" i="7"/>
  <c r="DB11" i="7"/>
  <c r="BB11" i="7"/>
  <c r="BC11" i="7" s="1"/>
  <c r="AX11" i="7"/>
  <c r="AY11" i="7" s="1"/>
  <c r="AU11" i="7"/>
  <c r="E13" i="8"/>
  <c r="EE10" i="7"/>
  <c r="IU9" i="7"/>
  <c r="IT11" i="7" s="1"/>
  <c r="IN9" i="7"/>
  <c r="IM11" i="7" s="1"/>
  <c r="II9" i="7"/>
  <c r="IH11" i="7" s="1"/>
  <c r="HX9" i="7"/>
  <c r="DQ9" i="7"/>
  <c r="CA9" i="7"/>
  <c r="CA10" i="7" s="1"/>
  <c r="BQ9" i="7"/>
  <c r="BW9" i="7" s="1"/>
  <c r="BW10" i="7" s="1"/>
  <c r="BF9" i="7"/>
  <c r="IM12" i="7" l="1"/>
  <c r="DT17" i="7"/>
  <c r="EB15" i="7"/>
  <c r="CN16" i="7"/>
  <c r="CF14" i="7"/>
  <c r="HE28" i="7"/>
  <c r="DH17" i="7"/>
  <c r="EB11" i="7"/>
  <c r="EB16" i="7" s="1"/>
  <c r="EN11" i="7"/>
  <c r="EN16" i="7" s="1"/>
  <c r="GC14" i="7"/>
  <c r="L12" i="7"/>
  <c r="E14" i="8" s="1"/>
  <c r="CF16" i="7"/>
  <c r="CN11" i="7"/>
  <c r="CN13" i="7"/>
  <c r="J19" i="7"/>
  <c r="JZ17" i="7" s="1"/>
  <c r="KA17" i="7" s="1"/>
  <c r="KB17" i="7" s="1"/>
  <c r="C20" i="8"/>
  <c r="D20" i="8" s="1"/>
  <c r="D21" i="8" s="1"/>
  <c r="IH12" i="7"/>
  <c r="DB17" i="7"/>
  <c r="DA17" i="7" s="1"/>
  <c r="FX17" i="7"/>
  <c r="HZ12" i="7"/>
  <c r="FZ15" i="7"/>
  <c r="CD17" i="7"/>
  <c r="CW10" i="7" s="1"/>
  <c r="CN15" i="7"/>
  <c r="C21" i="8"/>
  <c r="EP17" i="7"/>
  <c r="GW47" i="7"/>
  <c r="GX50" i="7"/>
  <c r="GW51" i="7" s="1"/>
  <c r="H17" i="7"/>
  <c r="CL17" i="7"/>
  <c r="F13" i="8"/>
  <c r="AY17" i="7"/>
  <c r="AX17" i="7" s="1"/>
  <c r="DQ17" i="7"/>
  <c r="DQ19" i="7" s="1"/>
  <c r="DQ24" i="7" s="1"/>
  <c r="FM17" i="7"/>
  <c r="FZ12" i="7"/>
  <c r="GC12" i="7"/>
  <c r="EY11" i="7"/>
  <c r="EY13" i="7" s="1"/>
  <c r="L16" i="7"/>
  <c r="E18" i="8" s="1"/>
  <c r="N12" i="7"/>
  <c r="F14" i="8" s="1"/>
  <c r="CN14" i="7"/>
  <c r="ET14" i="7"/>
  <c r="ES17" i="7" s="1"/>
  <c r="ES13" i="7"/>
  <c r="EQ10" i="7"/>
  <c r="GU14" i="7"/>
  <c r="GT17" i="7" s="1"/>
  <c r="GT13" i="7"/>
  <c r="HD13" i="7" s="1"/>
  <c r="FK11" i="7"/>
  <c r="FK13" i="7" s="1"/>
  <c r="FN10" i="7"/>
  <c r="FE15" i="7"/>
  <c r="FF15" i="7" s="1"/>
  <c r="EY15" i="7"/>
  <c r="JI15" i="7"/>
  <c r="JF15" i="7"/>
  <c r="BK9" i="7"/>
  <c r="BK10" i="7" s="1"/>
  <c r="BJ13" i="7" s="1"/>
  <c r="BK13" i="7" s="1"/>
  <c r="FB10" i="7"/>
  <c r="BC17" i="7"/>
  <c r="BB17" i="7" s="1"/>
  <c r="DW17" i="7"/>
  <c r="DQ25" i="7" s="1"/>
  <c r="FA17" i="7"/>
  <c r="GC11" i="7"/>
  <c r="HH12" i="7"/>
  <c r="HM12" i="7" s="1"/>
  <c r="HN12" i="7" s="1"/>
  <c r="HD12" i="7"/>
  <c r="IB12" i="7" s="1"/>
  <c r="IA12" i="7" s="1"/>
  <c r="JI12" i="7"/>
  <c r="JF12" i="7"/>
  <c r="F15" i="8"/>
  <c r="FQ14" i="7"/>
  <c r="FS14" i="7" s="1"/>
  <c r="JI14" i="7"/>
  <c r="JK14" i="7" s="1"/>
  <c r="JF14" i="7"/>
  <c r="GW17" i="7"/>
  <c r="FG17" i="7"/>
  <c r="EZ9" i="7" s="1"/>
  <c r="E15" i="8"/>
  <c r="AU17" i="7"/>
  <c r="AT17" i="7" s="1"/>
  <c r="ED17" i="7"/>
  <c r="FZ11" i="7"/>
  <c r="ID12" i="7"/>
  <c r="FZ13" i="7"/>
  <c r="FZ14" i="7"/>
  <c r="GC15" i="7"/>
  <c r="FZ16" i="7"/>
  <c r="FL18" i="7"/>
  <c r="AY18" i="7"/>
  <c r="BC18" i="7"/>
  <c r="JK27" i="7"/>
  <c r="JK28" i="7" s="1"/>
  <c r="GU60" i="7"/>
  <c r="CF15" i="7"/>
  <c r="CF13" i="7"/>
  <c r="CJ11" i="7"/>
  <c r="CJ12" i="7"/>
  <c r="CN12" i="7"/>
  <c r="CJ14" i="7"/>
  <c r="CF12" i="7"/>
  <c r="N14" i="7"/>
  <c r="F16" i="8" s="1"/>
  <c r="G17" i="7"/>
  <c r="CJ15" i="7"/>
  <c r="CH17" i="7"/>
  <c r="CJ16" i="7"/>
  <c r="HC32" i="7"/>
  <c r="GV53" i="7"/>
  <c r="CF11" i="7"/>
  <c r="L33" i="7"/>
  <c r="IT12" i="7"/>
  <c r="HI11" i="7"/>
  <c r="HM11" i="7"/>
  <c r="HN11" i="7" s="1"/>
  <c r="DF16" i="7"/>
  <c r="DF13" i="7"/>
  <c r="HD11" i="7"/>
  <c r="HW11" i="7" s="1"/>
  <c r="EI14" i="7"/>
  <c r="EI16" i="7" s="1"/>
  <c r="EG13" i="7"/>
  <c r="GC13" i="7"/>
  <c r="JI13" i="7"/>
  <c r="DO16" i="7"/>
  <c r="DO13" i="7"/>
  <c r="EN13" i="7"/>
  <c r="FE14" i="7"/>
  <c r="FD13" i="7"/>
  <c r="HH13" i="7"/>
  <c r="HC15" i="7"/>
  <c r="JG17" i="7"/>
  <c r="JI11" i="7"/>
  <c r="DX14" i="7"/>
  <c r="DX15" i="7" s="1"/>
  <c r="DX17" i="7" s="1"/>
  <c r="DY17" i="7" s="1"/>
  <c r="FK15" i="7"/>
  <c r="FQ15" i="7"/>
  <c r="JI16" i="7"/>
  <c r="EP19" i="7"/>
  <c r="JY19" i="7"/>
  <c r="JZ19" i="7" s="1"/>
  <c r="BH29" i="7"/>
  <c r="N18" i="7"/>
  <c r="KA18" i="7"/>
  <c r="FM20" i="7"/>
  <c r="BH30" i="7"/>
  <c r="L18" i="7"/>
  <c r="U80" i="1"/>
  <c r="T80" i="1"/>
  <c r="EB13" i="7" l="1"/>
  <c r="CN17" i="7"/>
  <c r="AY19" i="7"/>
  <c r="HC14" i="7"/>
  <c r="HH14" i="7" s="1"/>
  <c r="JH14" i="7"/>
  <c r="EY16" i="7"/>
  <c r="IF12" i="7"/>
  <c r="GX51" i="7"/>
  <c r="FE16" i="7"/>
  <c r="GU16" i="7"/>
  <c r="HC16" i="7" s="1"/>
  <c r="BJ12" i="7"/>
  <c r="BK12" i="7" s="1"/>
  <c r="CF17" i="7"/>
  <c r="CE17" i="7" s="1"/>
  <c r="AU19" i="7"/>
  <c r="GV15" i="7"/>
  <c r="GW15" i="7" s="1"/>
  <c r="FG15" i="7"/>
  <c r="HB14" i="7"/>
  <c r="HL14" i="7"/>
  <c r="BC19" i="7"/>
  <c r="BJ16" i="7"/>
  <c r="BK16" i="7" s="1"/>
  <c r="FK16" i="7"/>
  <c r="GW14" i="7"/>
  <c r="EN14" i="7"/>
  <c r="BJ15" i="7"/>
  <c r="BK15" i="7" s="1"/>
  <c r="GC17" i="7"/>
  <c r="GB17" i="7" s="1"/>
  <c r="L17" i="7"/>
  <c r="K17" i="7" s="1"/>
  <c r="E19" i="8"/>
  <c r="EY14" i="7"/>
  <c r="L19" i="7"/>
  <c r="E20" i="8"/>
  <c r="E21" i="8" s="1"/>
  <c r="F19" i="8"/>
  <c r="N19" i="7"/>
  <c r="F20" i="8"/>
  <c r="F21" i="8" s="1"/>
  <c r="EV14" i="7"/>
  <c r="HW12" i="7"/>
  <c r="DF14" i="7"/>
  <c r="CJ17" i="7"/>
  <c r="CI17" i="7" s="1"/>
  <c r="FK14" i="7"/>
  <c r="N17" i="7"/>
  <c r="EU17" i="7"/>
  <c r="EV17" i="7" s="1"/>
  <c r="EO9" i="7" s="1"/>
  <c r="GW52" i="7"/>
  <c r="FL9" i="7"/>
  <c r="JK12" i="7"/>
  <c r="JH12" i="7"/>
  <c r="JK15" i="7"/>
  <c r="JH15" i="7"/>
  <c r="BJ14" i="7"/>
  <c r="BK14" i="7" s="1"/>
  <c r="HI12" i="7"/>
  <c r="BN9" i="7"/>
  <c r="BN10" i="7" s="1"/>
  <c r="BJ11" i="7"/>
  <c r="BK11" i="7" s="1"/>
  <c r="FZ17" i="7"/>
  <c r="FY17" i="7" s="1"/>
  <c r="ET16" i="7"/>
  <c r="BG9" i="7"/>
  <c r="BH9" i="7" s="1"/>
  <c r="CM17" i="7"/>
  <c r="FA19" i="7"/>
  <c r="CF19" i="7"/>
  <c r="DH19" i="7"/>
  <c r="GU61" i="7"/>
  <c r="HG14" i="7"/>
  <c r="HD30" i="7"/>
  <c r="HD31" i="7" s="1"/>
  <c r="HE31" i="7" s="1"/>
  <c r="ED19" i="7"/>
  <c r="JH16" i="7"/>
  <c r="JK16" i="7"/>
  <c r="FQ16" i="7"/>
  <c r="FR15" i="7"/>
  <c r="FS15" i="7" s="1"/>
  <c r="HD14" i="7"/>
  <c r="HD17" i="7" s="1"/>
  <c r="JI17" i="7"/>
  <c r="JK11" i="7"/>
  <c r="JH11" i="7"/>
  <c r="HH16" i="7"/>
  <c r="HD16" i="7"/>
  <c r="HM13" i="7"/>
  <c r="HN13" i="7" s="1"/>
  <c r="HI13" i="7"/>
  <c r="FD17" i="7"/>
  <c r="FG14" i="7"/>
  <c r="FT14" i="7" s="1"/>
  <c r="FU14" i="7" s="1"/>
  <c r="DN17" i="7"/>
  <c r="JJ14" i="7"/>
  <c r="JM14" i="7"/>
  <c r="JL14" i="7" s="1"/>
  <c r="EG17" i="7"/>
  <c r="EK14" i="7"/>
  <c r="EI17" i="7" s="1"/>
  <c r="EJ17" i="7" s="1"/>
  <c r="EC9" i="7" s="1"/>
  <c r="EB14" i="7"/>
  <c r="BM14" i="7"/>
  <c r="BN14" i="7" s="1"/>
  <c r="IJ12" i="7"/>
  <c r="IE12" i="7"/>
  <c r="HD15" i="7"/>
  <c r="HH15" i="7"/>
  <c r="IB13" i="7"/>
  <c r="HW13" i="7"/>
  <c r="DO14" i="7"/>
  <c r="DM13" i="7"/>
  <c r="JH13" i="7"/>
  <c r="JK13" i="7"/>
  <c r="IB11" i="7"/>
  <c r="CR9" i="7" l="1"/>
  <c r="CR10" i="7" s="1"/>
  <c r="CQ12" i="7" s="1"/>
  <c r="GA17" i="7"/>
  <c r="GC19" i="7"/>
  <c r="L24" i="7"/>
  <c r="E22" i="8"/>
  <c r="CQ16" i="7"/>
  <c r="CQ14" i="7"/>
  <c r="CQ15" i="7"/>
  <c r="CQ11" i="7"/>
  <c r="CQ13" i="7"/>
  <c r="BK17" i="7"/>
  <c r="BJ17" i="7" s="1"/>
  <c r="M17" i="7"/>
  <c r="N24" i="7"/>
  <c r="F22" i="8"/>
  <c r="BV16" i="7"/>
  <c r="BG16" i="7"/>
  <c r="BH16" i="7" s="1"/>
  <c r="BR15" i="7"/>
  <c r="BS15" i="7" s="1"/>
  <c r="BV12" i="7"/>
  <c r="BG12" i="7"/>
  <c r="BH12" i="7" s="1"/>
  <c r="BG14" i="7"/>
  <c r="BH14" i="7" s="1"/>
  <c r="BG13" i="7"/>
  <c r="BH13" i="7" s="1"/>
  <c r="BR13" i="7"/>
  <c r="BS13" i="7" s="1"/>
  <c r="BR11" i="7"/>
  <c r="BS11" i="7" s="1"/>
  <c r="BR16" i="7"/>
  <c r="BS16" i="7" s="1"/>
  <c r="BV15" i="7"/>
  <c r="BG15" i="7"/>
  <c r="BH15" i="7" s="1"/>
  <c r="BR12" i="7"/>
  <c r="BS12" i="7" s="1"/>
  <c r="BV14" i="7"/>
  <c r="BV13" i="7"/>
  <c r="BR14" i="7"/>
  <c r="BS14" i="7" s="1"/>
  <c r="BV11" i="7"/>
  <c r="BZ11" i="7" s="1"/>
  <c r="BG11" i="7"/>
  <c r="BH11" i="7" s="1"/>
  <c r="BM11" i="7"/>
  <c r="BN11" i="7" s="1"/>
  <c r="BM15" i="7"/>
  <c r="BN15" i="7" s="1"/>
  <c r="BM12" i="7"/>
  <c r="BN12" i="7" s="1"/>
  <c r="BM16" i="7"/>
  <c r="BN16" i="7" s="1"/>
  <c r="FZ19" i="7"/>
  <c r="BM13" i="7"/>
  <c r="BN13" i="7" s="1"/>
  <c r="JM15" i="7"/>
  <c r="JL15" i="7" s="1"/>
  <c r="JJ15" i="7"/>
  <c r="JM12" i="7"/>
  <c r="JL12" i="7" s="1"/>
  <c r="JJ12" i="7"/>
  <c r="IF11" i="7"/>
  <c r="IA11" i="7"/>
  <c r="JJ13" i="7"/>
  <c r="JM13" i="7"/>
  <c r="JL13" i="7" s="1"/>
  <c r="IF13" i="7"/>
  <c r="IA13" i="7"/>
  <c r="IB15" i="7"/>
  <c r="HW15" i="7"/>
  <c r="II12" i="7"/>
  <c r="IK12" i="7" s="1"/>
  <c r="IO12" i="7"/>
  <c r="HM14" i="7"/>
  <c r="HN14" i="7" s="1"/>
  <c r="HN17" i="7" s="1"/>
  <c r="HI14" i="7"/>
  <c r="HI17" i="7" s="1"/>
  <c r="HI15" i="7"/>
  <c r="HM15" i="7"/>
  <c r="HN15" i="7" s="1"/>
  <c r="HM16" i="7"/>
  <c r="HN16" i="7" s="1"/>
  <c r="HI16" i="7"/>
  <c r="JK17" i="7"/>
  <c r="JM11" i="7"/>
  <c r="JJ11" i="7"/>
  <c r="IB14" i="7"/>
  <c r="HW14" i="7"/>
  <c r="JJ16" i="7"/>
  <c r="JM16" i="7"/>
  <c r="JL16" i="7" s="1"/>
  <c r="BH17" i="7" l="1"/>
  <c r="BG17" i="7" s="1"/>
  <c r="CR13" i="7"/>
  <c r="CV13" i="7"/>
  <c r="CW13" i="7" s="1"/>
  <c r="CR15" i="7"/>
  <c r="J15" i="7"/>
  <c r="C17" i="8" s="1"/>
  <c r="D17" i="8" s="1"/>
  <c r="CV15" i="7"/>
  <c r="CW15" i="7" s="1"/>
  <c r="CR16" i="7"/>
  <c r="J16" i="7"/>
  <c r="C18" i="8" s="1"/>
  <c r="D18" i="8" s="1"/>
  <c r="CV16" i="7"/>
  <c r="CW16" i="7" s="1"/>
  <c r="CR11" i="7"/>
  <c r="CV11" i="7"/>
  <c r="CW11" i="7" s="1"/>
  <c r="CR14" i="7"/>
  <c r="J14" i="7"/>
  <c r="C16" i="8" s="1"/>
  <c r="D16" i="8" s="1"/>
  <c r="CV14" i="7"/>
  <c r="CW14" i="7" s="1"/>
  <c r="CR12" i="7"/>
  <c r="J12" i="7"/>
  <c r="C14" i="8" s="1"/>
  <c r="D14" i="8" s="1"/>
  <c r="CV12" i="7"/>
  <c r="CW12" i="7" s="1"/>
  <c r="BH34" i="7"/>
  <c r="BZ14" i="7"/>
  <c r="CA14" i="7" s="1"/>
  <c r="BW14" i="7"/>
  <c r="BZ12" i="7"/>
  <c r="CA12" i="7" s="1"/>
  <c r="BW12" i="7"/>
  <c r="BN17" i="7"/>
  <c r="BM17" i="7" s="1"/>
  <c r="CA11" i="7"/>
  <c r="BW11" i="7"/>
  <c r="BZ13" i="7"/>
  <c r="CA13" i="7" s="1"/>
  <c r="BW13" i="7"/>
  <c r="BZ15" i="7"/>
  <c r="CA15" i="7" s="1"/>
  <c r="BW15" i="7"/>
  <c r="BS17" i="7"/>
  <c r="BS19" i="7" s="1"/>
  <c r="BZ16" i="7"/>
  <c r="CA16" i="7" s="1"/>
  <c r="BW16" i="7"/>
  <c r="IN12" i="7"/>
  <c r="IP12" i="7" s="1"/>
  <c r="IV12" i="7"/>
  <c r="IU12" i="7" s="1"/>
  <c r="IJ11" i="7"/>
  <c r="IE11" i="7"/>
  <c r="IF14" i="7"/>
  <c r="IA14" i="7"/>
  <c r="JM17" i="7"/>
  <c r="JL11" i="7"/>
  <c r="IF15" i="7"/>
  <c r="IA15" i="7"/>
  <c r="IJ13" i="7"/>
  <c r="IE13" i="7"/>
  <c r="J69" i="1"/>
  <c r="E70" i="1"/>
  <c r="F70" i="1"/>
  <c r="BH19" i="7" l="1"/>
  <c r="CW17" i="7"/>
  <c r="CW19" i="7" s="1"/>
  <c r="CR17" i="7"/>
  <c r="CR19" i="7" s="1"/>
  <c r="C13" i="8"/>
  <c r="BR17" i="7"/>
  <c r="CA17" i="7"/>
  <c r="BZ17" i="7" s="1"/>
  <c r="BW17" i="7"/>
  <c r="BW19" i="7" s="1"/>
  <c r="IW12" i="7"/>
  <c r="IO13" i="7"/>
  <c r="II13" i="7"/>
  <c r="IK13" i="7" s="1"/>
  <c r="IJ15" i="7"/>
  <c r="IE15" i="7"/>
  <c r="IJ14" i="7"/>
  <c r="IE14" i="7"/>
  <c r="II11" i="7"/>
  <c r="IO11" i="7"/>
  <c r="E27" i="1"/>
  <c r="E24" i="1"/>
  <c r="F27" i="1"/>
  <c r="D13" i="8" l="1"/>
  <c r="BV17" i="7"/>
  <c r="IV11" i="7"/>
  <c r="IU11" i="7" s="1"/>
  <c r="IN11" i="7"/>
  <c r="IP11" i="7" s="1"/>
  <c r="IQ11" i="7" s="1"/>
  <c r="IK11" i="7"/>
  <c r="IL11" i="7" s="1"/>
  <c r="IO14" i="7"/>
  <c r="II14" i="7"/>
  <c r="IK14" i="7" s="1"/>
  <c r="IO15" i="7"/>
  <c r="II15" i="7"/>
  <c r="IK15" i="7" s="1"/>
  <c r="IV13" i="7"/>
  <c r="IU13" i="7" s="1"/>
  <c r="IN13" i="7"/>
  <c r="IP13" i="7" s="1"/>
  <c r="F222" i="1"/>
  <c r="E178" i="1"/>
  <c r="F178" i="1"/>
  <c r="F176" i="1"/>
  <c r="IW13" i="7" l="1"/>
  <c r="IV15" i="7"/>
  <c r="IU15" i="7" s="1"/>
  <c r="IN15" i="7"/>
  <c r="IP15" i="7" s="1"/>
  <c r="IV14" i="7"/>
  <c r="IU14" i="7" s="1"/>
  <c r="IN14" i="7"/>
  <c r="IP14" i="7" s="1"/>
  <c r="IW11" i="7"/>
  <c r="IX11" i="7" s="1"/>
  <c r="I162" i="1"/>
  <c r="H162" i="1"/>
  <c r="E144" i="1"/>
  <c r="F144" i="1"/>
  <c r="E149" i="1"/>
  <c r="F145" i="1"/>
  <c r="H138" i="1"/>
  <c r="T138" i="1" s="1"/>
  <c r="H137" i="1"/>
  <c r="H135" i="1"/>
  <c r="E135" i="1"/>
  <c r="E134" i="1"/>
  <c r="F131" i="1"/>
  <c r="F138" i="1"/>
  <c r="F137" i="1"/>
  <c r="U138" i="1"/>
  <c r="J138" i="1"/>
  <c r="O138" i="1"/>
  <c r="N138" i="1" s="1"/>
  <c r="F136" i="1"/>
  <c r="F135" i="1"/>
  <c r="F134" i="1"/>
  <c r="F141" i="1"/>
  <c r="IW14" i="7" l="1"/>
  <c r="IW15" i="7"/>
  <c r="U120" i="1"/>
  <c r="T120" i="1"/>
  <c r="E121" i="1"/>
  <c r="F111" i="1"/>
  <c r="E108" i="1"/>
  <c r="E103" i="1"/>
  <c r="E95" i="1"/>
  <c r="E91" i="1"/>
  <c r="F95" i="1"/>
  <c r="E81" i="1" l="1"/>
  <c r="E62" i="1"/>
  <c r="E63" i="1"/>
  <c r="E71" i="1"/>
  <c r="F71" i="1"/>
  <c r="F66" i="1"/>
  <c r="F65" i="1"/>
  <c r="F57" i="1"/>
  <c r="F54" i="1"/>
  <c r="F52" i="1"/>
  <c r="F59" i="1"/>
  <c r="P59" i="1" s="1"/>
  <c r="E39" i="1"/>
  <c r="Z19" i="4" l="1"/>
  <c r="E31" i="1" l="1"/>
  <c r="F31" i="1"/>
  <c r="E35" i="1"/>
  <c r="F35" i="1"/>
  <c r="E22" i="1"/>
  <c r="F22" i="1"/>
  <c r="F24" i="1"/>
  <c r="F28" i="1"/>
  <c r="E28" i="1"/>
  <c r="E9" i="1"/>
  <c r="E12" i="1"/>
  <c r="E14" i="1"/>
  <c r="F9" i="1"/>
  <c r="F15" i="1"/>
  <c r="F14" i="1"/>
  <c r="F12" i="1"/>
  <c r="F198" i="1"/>
  <c r="E198" i="1"/>
  <c r="E199" i="1"/>
  <c r="F202" i="1"/>
  <c r="F203" i="1"/>
  <c r="F199" i="1"/>
  <c r="I202" i="1"/>
  <c r="H202" i="1"/>
  <c r="E186" i="1"/>
  <c r="F186" i="1"/>
  <c r="F173" i="1"/>
  <c r="E176" i="1"/>
  <c r="F37" i="1" l="1"/>
  <c r="F205" i="1"/>
  <c r="F197" i="1"/>
  <c r="M111" i="5" l="1"/>
  <c r="Q111" i="5"/>
  <c r="N111" i="5" l="1"/>
  <c r="F134" i="5"/>
  <c r="M130" i="5"/>
  <c r="N130" i="5"/>
  <c r="M129" i="5"/>
  <c r="N129" i="5"/>
  <c r="M110" i="5"/>
  <c r="O115" i="5"/>
  <c r="N110" i="5"/>
  <c r="F109" i="5"/>
  <c r="T111" i="5" l="1"/>
  <c r="U111" i="5" s="1"/>
  <c r="V111" i="5" s="1"/>
  <c r="O129" i="5"/>
  <c r="Q129" i="5"/>
  <c r="O130" i="5"/>
  <c r="Q130" i="5"/>
  <c r="Q110" i="5"/>
  <c r="T110" i="5" l="1"/>
  <c r="U110" i="5" s="1"/>
  <c r="V110" i="5" s="1"/>
  <c r="T130" i="5"/>
  <c r="T129" i="5"/>
  <c r="F123" i="5"/>
  <c r="F115" i="5"/>
  <c r="G188" i="5" l="1"/>
  <c r="G221" i="1"/>
  <c r="E258" i="1"/>
  <c r="U223" i="1"/>
  <c r="H222" i="1"/>
  <c r="F236" i="1" l="1"/>
  <c r="I235" i="1"/>
  <c r="H235" i="1"/>
  <c r="F238" i="1"/>
  <c r="F226" i="1"/>
  <c r="I225" i="1"/>
  <c r="U225" i="1" s="1"/>
  <c r="H225" i="1"/>
  <c r="T225" i="1" s="1"/>
  <c r="I224" i="1"/>
  <c r="U224" i="1" s="1"/>
  <c r="H224" i="1"/>
  <c r="T224" i="1" s="1"/>
  <c r="F221" i="1"/>
  <c r="I221" i="1"/>
  <c r="U221" i="1" s="1"/>
  <c r="G225" i="1"/>
  <c r="F225" i="1"/>
  <c r="F223" i="1"/>
  <c r="F19" i="1"/>
  <c r="O150" i="5" l="1"/>
  <c r="T150" i="5" s="1"/>
  <c r="M115" i="5"/>
  <c r="K118" i="5"/>
  <c r="K117" i="5"/>
  <c r="Q115" i="5" l="1"/>
  <c r="T115" i="5" l="1"/>
  <c r="U115" i="5" s="1"/>
  <c r="V115" i="5" s="1"/>
  <c r="K60" i="5"/>
  <c r="O60" i="5" s="1"/>
  <c r="K59" i="5"/>
  <c r="M59" i="5" s="1"/>
  <c r="I68" i="5"/>
  <c r="V68" i="5" s="1"/>
  <c r="H68" i="5"/>
  <c r="U68" i="5" s="1"/>
  <c r="N60" i="5"/>
  <c r="N59" i="5"/>
  <c r="M60" i="5" l="1"/>
  <c r="Q60" i="5"/>
  <c r="Q59" i="5"/>
  <c r="O59" i="5"/>
  <c r="T60" i="5" l="1"/>
  <c r="U60" i="5" s="1"/>
  <c r="V60" i="5" s="1"/>
  <c r="T59" i="5"/>
  <c r="U59" i="5" s="1"/>
  <c r="V59" i="5" l="1"/>
  <c r="K32" i="5" l="1"/>
  <c r="K31" i="5"/>
  <c r="K30" i="5"/>
  <c r="N14" i="5" l="1"/>
  <c r="O20" i="5"/>
  <c r="F191" i="5" l="1"/>
  <c r="V191" i="5"/>
  <c r="V195" i="5" s="1"/>
  <c r="U191" i="5"/>
  <c r="U195" i="5" s="1"/>
  <c r="U199" i="5" s="1"/>
  <c r="T191" i="5"/>
  <c r="T190" i="5"/>
  <c r="F171" i="5"/>
  <c r="F86" i="5"/>
  <c r="V171" i="5"/>
  <c r="V175" i="5" s="1"/>
  <c r="U171" i="5"/>
  <c r="U175" i="5" s="1"/>
  <c r="T171" i="5"/>
  <c r="C19" i="4" s="1"/>
  <c r="T170" i="5"/>
  <c r="F139" i="5"/>
  <c r="V139" i="5"/>
  <c r="V145" i="5" s="1"/>
  <c r="U139" i="5"/>
  <c r="U145" i="5" s="1"/>
  <c r="T139" i="5"/>
  <c r="C17" i="4" s="1"/>
  <c r="T138" i="5"/>
  <c r="F164" i="5"/>
  <c r="C20" i="4" l="1"/>
  <c r="F188" i="5"/>
  <c r="F95" i="5"/>
  <c r="F98" i="5"/>
  <c r="F90" i="5"/>
  <c r="T85" i="5"/>
  <c r="F22" i="5"/>
  <c r="F79" i="5" l="1"/>
  <c r="F75" i="5"/>
  <c r="F68" i="5"/>
  <c r="E22" i="5"/>
  <c r="F83" i="5" l="1"/>
  <c r="Z14" i="4" l="1"/>
  <c r="Z15" i="4" l="1"/>
  <c r="AO21" i="4" l="1"/>
  <c r="Q16" i="5" l="1"/>
  <c r="U201" i="1" l="1"/>
  <c r="T201" i="1"/>
  <c r="J201" i="1"/>
  <c r="O201" i="1"/>
  <c r="N201" i="1" s="1"/>
  <c r="J41" i="1" l="1"/>
  <c r="P41" i="1"/>
  <c r="E37" i="1"/>
  <c r="J34" i="1"/>
  <c r="R34" i="1" l="1"/>
  <c r="O34" i="1"/>
  <c r="N34" i="1" l="1"/>
  <c r="M81" i="5"/>
  <c r="H83" i="5"/>
  <c r="U83" i="5" s="1"/>
  <c r="I83" i="5"/>
  <c r="V83" i="5" s="1"/>
  <c r="E83" i="5"/>
  <c r="N81" i="5"/>
  <c r="T81" i="5" s="1"/>
  <c r="U81" i="5" s="1"/>
  <c r="V81" i="5" s="1"/>
  <c r="N73" i="5"/>
  <c r="M73" i="5"/>
  <c r="O81" i="5" l="1"/>
  <c r="Q81" i="5"/>
  <c r="O73" i="5"/>
  <c r="Q73" i="5"/>
  <c r="H188" i="5"/>
  <c r="I188" i="5"/>
  <c r="E188" i="5"/>
  <c r="N180" i="5"/>
  <c r="M180" i="5"/>
  <c r="N164" i="5"/>
  <c r="M164" i="5"/>
  <c r="E168" i="5"/>
  <c r="F168" i="5"/>
  <c r="O133" i="5"/>
  <c r="M133" i="5"/>
  <c r="N133" i="5"/>
  <c r="E136" i="5"/>
  <c r="N120" i="5"/>
  <c r="M120" i="5"/>
  <c r="M91" i="5"/>
  <c r="F99" i="5"/>
  <c r="H99" i="5"/>
  <c r="I99" i="5"/>
  <c r="V99" i="5" s="1"/>
  <c r="E99" i="5"/>
  <c r="Q91" i="5"/>
  <c r="M63" i="5"/>
  <c r="Q63" i="5"/>
  <c r="M45" i="5"/>
  <c r="N45" i="5"/>
  <c r="M35" i="5"/>
  <c r="M36" i="5"/>
  <c r="Q35" i="5"/>
  <c r="I35" i="5"/>
  <c r="Q36" i="5"/>
  <c r="M40" i="5"/>
  <c r="P40" i="5"/>
  <c r="R40" i="5"/>
  <c r="H100" i="5" l="1"/>
  <c r="U100" i="5" s="1"/>
  <c r="U99" i="5"/>
  <c r="N35" i="5"/>
  <c r="U35" i="5" s="1"/>
  <c r="O120" i="5"/>
  <c r="T73" i="5"/>
  <c r="U73" i="5" s="1"/>
  <c r="V73" i="5" s="1"/>
  <c r="Q180" i="5"/>
  <c r="O164" i="5"/>
  <c r="Q164" i="5"/>
  <c r="Q133" i="5"/>
  <c r="T133" i="5" s="1"/>
  <c r="Q120" i="5"/>
  <c r="T63" i="5"/>
  <c r="U63" i="5" s="1"/>
  <c r="V63" i="5" s="1"/>
  <c r="O45" i="5"/>
  <c r="Q45" i="5"/>
  <c r="N36" i="5"/>
  <c r="O36" i="5"/>
  <c r="E65" i="5"/>
  <c r="E61" i="5"/>
  <c r="Q151" i="5"/>
  <c r="N151" i="5"/>
  <c r="O151" i="5"/>
  <c r="F148" i="5"/>
  <c r="F155" i="5" s="1"/>
  <c r="E148" i="5"/>
  <c r="E155" i="5" s="1"/>
  <c r="T120" i="5" l="1"/>
  <c r="U120" i="5" s="1"/>
  <c r="V120" i="5" s="1"/>
  <c r="E68" i="5"/>
  <c r="T151" i="5"/>
  <c r="U151" i="5" s="1"/>
  <c r="V151" i="5" s="1"/>
  <c r="T91" i="5"/>
  <c r="U91" i="5" s="1"/>
  <c r="V91" i="5" s="1"/>
  <c r="T164" i="5"/>
  <c r="U164" i="5" s="1"/>
  <c r="V164" i="5" s="1"/>
  <c r="T180" i="5"/>
  <c r="U180" i="5" s="1"/>
  <c r="V180" i="5" s="1"/>
  <c r="T45" i="5"/>
  <c r="U45" i="5" s="1"/>
  <c r="V45" i="5" s="1"/>
  <c r="T35" i="5"/>
  <c r="V35" i="5"/>
  <c r="U36" i="5"/>
  <c r="T36" i="5"/>
  <c r="V36" i="5"/>
  <c r="M151" i="5"/>
  <c r="E46" i="5"/>
  <c r="E44" i="5"/>
  <c r="E37" i="5"/>
  <c r="E40" i="5" l="1"/>
  <c r="E54" i="5"/>
  <c r="F54" i="5"/>
  <c r="M68" i="5" l="1"/>
  <c r="AG28" i="5"/>
  <c r="AF30" i="5" s="1"/>
  <c r="Y155" i="1" l="1"/>
  <c r="Y141" i="1"/>
  <c r="Y131" i="1"/>
  <c r="Y112" i="1"/>
  <c r="AD91" i="1"/>
  <c r="Y91" i="1"/>
  <c r="AD49" i="1"/>
  <c r="Y49" i="1"/>
  <c r="AD35" i="1"/>
  <c r="Y35" i="1"/>
  <c r="AD31" i="1"/>
  <c r="Y31" i="1"/>
  <c r="AD22" i="1"/>
  <c r="Y22" i="1"/>
  <c r="AD9" i="1"/>
  <c r="Y9" i="1"/>
  <c r="AE49" i="1" l="1"/>
  <c r="Z49" i="1"/>
  <c r="U247" i="1"/>
  <c r="T247" i="1"/>
  <c r="U38" i="1"/>
  <c r="H38" i="1"/>
  <c r="T38" i="1" s="1"/>
  <c r="J35" i="1" l="1"/>
  <c r="AB230" i="1" l="1"/>
  <c r="U230" i="1" s="1"/>
  <c r="W230" i="1"/>
  <c r="T230" i="1" s="1"/>
  <c r="AC49" i="1" l="1"/>
  <c r="AB49" i="1" s="1"/>
  <c r="U49" i="1" s="1"/>
  <c r="X49" i="1"/>
  <c r="W49" i="1" s="1"/>
  <c r="T49" i="1" s="1"/>
  <c r="M189" i="5" l="1"/>
  <c r="M188" i="5"/>
  <c r="I189" i="5"/>
  <c r="H189" i="5"/>
  <c r="M187" i="5"/>
  <c r="K186" i="5"/>
  <c r="M186" i="5" s="1"/>
  <c r="G186" i="5"/>
  <c r="K185" i="5"/>
  <c r="M185" i="5" s="1"/>
  <c r="G185" i="5"/>
  <c r="K184" i="5"/>
  <c r="M184" i="5" s="1"/>
  <c r="G184" i="5"/>
  <c r="M183" i="5"/>
  <c r="N183" i="5"/>
  <c r="M182" i="5"/>
  <c r="M181" i="5"/>
  <c r="M179" i="5"/>
  <c r="M178" i="5"/>
  <c r="R177" i="5"/>
  <c r="P177" i="5"/>
  <c r="M176" i="5"/>
  <c r="M169" i="5"/>
  <c r="R168" i="5"/>
  <c r="M168" i="5"/>
  <c r="I169" i="5"/>
  <c r="H169" i="5"/>
  <c r="M167" i="5"/>
  <c r="M166" i="5"/>
  <c r="M162" i="5"/>
  <c r="Q162" i="5"/>
  <c r="M161" i="5"/>
  <c r="M159" i="5"/>
  <c r="Q159" i="5"/>
  <c r="R158" i="5"/>
  <c r="P158" i="5"/>
  <c r="M157" i="5"/>
  <c r="M156" i="5"/>
  <c r="M155" i="5"/>
  <c r="I156" i="5"/>
  <c r="V156" i="5" s="1"/>
  <c r="H156" i="5"/>
  <c r="U156" i="5" s="1"/>
  <c r="M154" i="5"/>
  <c r="M153" i="5"/>
  <c r="Q153" i="5"/>
  <c r="M150" i="5"/>
  <c r="K148" i="5"/>
  <c r="M148" i="5" s="1"/>
  <c r="M146" i="5"/>
  <c r="M137" i="5"/>
  <c r="M136" i="5"/>
  <c r="M135" i="5"/>
  <c r="O135" i="5"/>
  <c r="M134" i="5"/>
  <c r="O134" i="5"/>
  <c r="M132" i="5"/>
  <c r="O132" i="5"/>
  <c r="M131" i="5"/>
  <c r="M128" i="5"/>
  <c r="Q128" i="5"/>
  <c r="M127" i="5"/>
  <c r="Q127" i="5"/>
  <c r="M126" i="5"/>
  <c r="M125" i="5"/>
  <c r="O125" i="5"/>
  <c r="M124" i="5"/>
  <c r="M123" i="5"/>
  <c r="M121" i="5"/>
  <c r="M119" i="5"/>
  <c r="Q119" i="5"/>
  <c r="M118" i="5"/>
  <c r="M117" i="5"/>
  <c r="M116" i="5"/>
  <c r="Q116" i="5"/>
  <c r="M114" i="5"/>
  <c r="M113" i="5"/>
  <c r="I137" i="5"/>
  <c r="V137" i="5" s="1"/>
  <c r="F113" i="5"/>
  <c r="F136" i="5" s="1"/>
  <c r="M112" i="5"/>
  <c r="Q112" i="5"/>
  <c r="M109" i="5"/>
  <c r="K108" i="5"/>
  <c r="M108" i="5" s="1"/>
  <c r="K107" i="5"/>
  <c r="M107" i="5" s="1"/>
  <c r="S105" i="5"/>
  <c r="R105" i="5"/>
  <c r="P105" i="5"/>
  <c r="M104" i="5"/>
  <c r="M100" i="5"/>
  <c r="M99" i="5"/>
  <c r="I100" i="5"/>
  <c r="V100" i="5" s="1"/>
  <c r="M98" i="5"/>
  <c r="O98" i="5"/>
  <c r="M97" i="5"/>
  <c r="O97" i="5"/>
  <c r="M96" i="5"/>
  <c r="O96" i="5"/>
  <c r="M95" i="5"/>
  <c r="O95" i="5"/>
  <c r="M94" i="5"/>
  <c r="M93" i="5"/>
  <c r="N93" i="5"/>
  <c r="M92" i="5"/>
  <c r="G99" i="5"/>
  <c r="M90" i="5"/>
  <c r="M88" i="5"/>
  <c r="M84" i="5"/>
  <c r="M83" i="5"/>
  <c r="N83" i="5"/>
  <c r="M82" i="5"/>
  <c r="M80" i="5"/>
  <c r="Q80" i="5"/>
  <c r="M79" i="5"/>
  <c r="Q79" i="5"/>
  <c r="M78" i="5"/>
  <c r="M77" i="5"/>
  <c r="M76" i="5"/>
  <c r="M75" i="5"/>
  <c r="M74" i="5"/>
  <c r="M72" i="5"/>
  <c r="I84" i="5"/>
  <c r="V84" i="5" s="1"/>
  <c r="H84" i="5"/>
  <c r="U84" i="5" s="1"/>
  <c r="M70" i="5"/>
  <c r="M69" i="5"/>
  <c r="I69" i="5"/>
  <c r="H69" i="5"/>
  <c r="U69" i="5" s="1"/>
  <c r="T67" i="5"/>
  <c r="U67" i="5" s="1"/>
  <c r="V67" i="5" s="1"/>
  <c r="K67" i="5"/>
  <c r="T66" i="5"/>
  <c r="U66" i="5" s="1"/>
  <c r="V66" i="5" s="1"/>
  <c r="K66" i="5"/>
  <c r="M65" i="5"/>
  <c r="M64" i="5"/>
  <c r="M62" i="5"/>
  <c r="M61" i="5"/>
  <c r="R56" i="5"/>
  <c r="P56" i="5"/>
  <c r="M56" i="5"/>
  <c r="M55" i="5"/>
  <c r="M54" i="5"/>
  <c r="T53" i="5"/>
  <c r="U53" i="5" s="1"/>
  <c r="V53" i="5" s="1"/>
  <c r="K53" i="5"/>
  <c r="M53" i="5" s="1"/>
  <c r="T52" i="5"/>
  <c r="U52" i="5" s="1"/>
  <c r="V52" i="5" s="1"/>
  <c r="K52" i="5"/>
  <c r="M52" i="5" s="1"/>
  <c r="T51" i="5"/>
  <c r="U51" i="5" s="1"/>
  <c r="V51" i="5" s="1"/>
  <c r="K51" i="5"/>
  <c r="M51" i="5" s="1"/>
  <c r="M50" i="5"/>
  <c r="M48" i="5"/>
  <c r="M47" i="5"/>
  <c r="M46" i="5"/>
  <c r="M44" i="5"/>
  <c r="M42" i="5"/>
  <c r="M41" i="5"/>
  <c r="K39" i="5"/>
  <c r="M39" i="5" s="1"/>
  <c r="K38" i="5"/>
  <c r="M38" i="5" s="1"/>
  <c r="I38" i="5"/>
  <c r="H38" i="5"/>
  <c r="F38" i="5"/>
  <c r="M37" i="5"/>
  <c r="O37" i="5"/>
  <c r="M34" i="5"/>
  <c r="I34" i="5"/>
  <c r="F34" i="5"/>
  <c r="M33" i="5"/>
  <c r="I33" i="5"/>
  <c r="H33" i="5"/>
  <c r="U33" i="5" s="1"/>
  <c r="Q33" i="5"/>
  <c r="M32" i="5"/>
  <c r="I32" i="5"/>
  <c r="H32" i="5"/>
  <c r="V31" i="5"/>
  <c r="M31" i="5"/>
  <c r="Q31" i="5"/>
  <c r="M30" i="5"/>
  <c r="S28" i="5"/>
  <c r="R28" i="5"/>
  <c r="R27" i="5" s="1"/>
  <c r="P28" i="5"/>
  <c r="P27" i="5" s="1"/>
  <c r="M27" i="5"/>
  <c r="M23" i="5"/>
  <c r="AC22" i="5"/>
  <c r="AB22" i="5"/>
  <c r="AA22" i="5"/>
  <c r="Z22" i="5"/>
  <c r="Y22" i="5"/>
  <c r="W22" i="5"/>
  <c r="S22" i="5"/>
  <c r="R22" i="5"/>
  <c r="P22" i="5"/>
  <c r="M22" i="5"/>
  <c r="M21" i="5"/>
  <c r="Q21" i="5"/>
  <c r="M20" i="5"/>
  <c r="M18" i="5"/>
  <c r="M17" i="5"/>
  <c r="Q17" i="5"/>
  <c r="M16" i="5"/>
  <c r="M15" i="5"/>
  <c r="M14" i="5"/>
  <c r="S13" i="5"/>
  <c r="R13" i="5"/>
  <c r="R12" i="5" s="1"/>
  <c r="P13" i="5"/>
  <c r="P12" i="5" s="1"/>
  <c r="P200" i="5" s="1"/>
  <c r="V69" i="5" l="1"/>
  <c r="O124" i="5"/>
  <c r="Q124" i="5"/>
  <c r="O78" i="5"/>
  <c r="Q76" i="5"/>
  <c r="G84" i="5"/>
  <c r="Q187" i="5"/>
  <c r="F40" i="5"/>
  <c r="I40" i="5"/>
  <c r="V40" i="5" s="1"/>
  <c r="O15" i="5"/>
  <c r="G169" i="5"/>
  <c r="O90" i="5"/>
  <c r="N92" i="5"/>
  <c r="O92" i="5"/>
  <c r="Q123" i="5"/>
  <c r="H40" i="5"/>
  <c r="O121" i="5"/>
  <c r="N34" i="5"/>
  <c r="U34" i="5" s="1"/>
  <c r="O61" i="5"/>
  <c r="O68" i="5"/>
  <c r="O14" i="5"/>
  <c r="U14" i="5" s="1"/>
  <c r="Q50" i="5"/>
  <c r="S23" i="5"/>
  <c r="O185" i="5"/>
  <c r="O186" i="5"/>
  <c r="O77" i="5"/>
  <c r="O178" i="5"/>
  <c r="O44" i="5"/>
  <c r="Q65" i="5"/>
  <c r="O182" i="5"/>
  <c r="I23" i="5"/>
  <c r="V23" i="5" s="1"/>
  <c r="U22" i="5"/>
  <c r="H23" i="5"/>
  <c r="U23" i="5" s="1"/>
  <c r="AB10" i="5" s="1"/>
  <c r="O48" i="5"/>
  <c r="O72" i="5"/>
  <c r="O75" i="5"/>
  <c r="O94" i="5"/>
  <c r="O107" i="5"/>
  <c r="O108" i="5"/>
  <c r="H137" i="5"/>
  <c r="U137" i="5" s="1"/>
  <c r="O117" i="5"/>
  <c r="O118" i="5"/>
  <c r="O179" i="5"/>
  <c r="Q183" i="5"/>
  <c r="O82" i="5"/>
  <c r="Q82" i="5"/>
  <c r="O131" i="5"/>
  <c r="Q131" i="5"/>
  <c r="N76" i="5"/>
  <c r="N108" i="5"/>
  <c r="N112" i="5"/>
  <c r="N116" i="5"/>
  <c r="N119" i="5"/>
  <c r="Q134" i="5"/>
  <c r="N159" i="5"/>
  <c r="N167" i="5"/>
  <c r="N185" i="5"/>
  <c r="Q14" i="5"/>
  <c r="Q15" i="5"/>
  <c r="O17" i="5"/>
  <c r="N17" i="5"/>
  <c r="O18" i="5"/>
  <c r="Q20" i="5"/>
  <c r="O39" i="5"/>
  <c r="Q47" i="5"/>
  <c r="N50" i="5"/>
  <c r="O62" i="5"/>
  <c r="Q64" i="5"/>
  <c r="Q72" i="5"/>
  <c r="Q74" i="5"/>
  <c r="O79" i="5"/>
  <c r="Q92" i="5"/>
  <c r="Q93" i="5"/>
  <c r="Q97" i="5"/>
  <c r="Q107" i="5"/>
  <c r="Q108" i="5"/>
  <c r="O123" i="5"/>
  <c r="N123" i="5"/>
  <c r="O128" i="5"/>
  <c r="O153" i="5"/>
  <c r="N153" i="5"/>
  <c r="O162" i="5"/>
  <c r="N162" i="5"/>
  <c r="M163" i="5"/>
  <c r="Q167" i="5"/>
  <c r="Q181" i="5"/>
  <c r="O184" i="5"/>
  <c r="Q185" i="5"/>
  <c r="N187" i="5"/>
  <c r="R200" i="5"/>
  <c r="N15" i="5"/>
  <c r="N20" i="5"/>
  <c r="N64" i="5"/>
  <c r="N72" i="5"/>
  <c r="O80" i="5"/>
  <c r="Q95" i="5"/>
  <c r="N107" i="5"/>
  <c r="O127" i="5"/>
  <c r="Q38" i="5"/>
  <c r="O38" i="5"/>
  <c r="N38" i="5"/>
  <c r="Q148" i="5"/>
  <c r="N148" i="5"/>
  <c r="Q161" i="5"/>
  <c r="N161" i="5"/>
  <c r="Q75" i="5"/>
  <c r="N75" i="5"/>
  <c r="Q90" i="5"/>
  <c r="N90" i="5"/>
  <c r="Q109" i="5"/>
  <c r="N109" i="5"/>
  <c r="Q114" i="5"/>
  <c r="N114" i="5"/>
  <c r="Q118" i="5"/>
  <c r="Q126" i="5"/>
  <c r="N126" i="5"/>
  <c r="Q154" i="5"/>
  <c r="N154" i="5"/>
  <c r="Q163" i="5"/>
  <c r="N163" i="5"/>
  <c r="Q178" i="5"/>
  <c r="N178" i="5"/>
  <c r="Q179" i="5"/>
  <c r="N179" i="5"/>
  <c r="Q186" i="5"/>
  <c r="N186" i="5"/>
  <c r="O21" i="5"/>
  <c r="O31" i="5"/>
  <c r="Q34" i="5"/>
  <c r="N96" i="5"/>
  <c r="N125" i="5"/>
  <c r="N132" i="5"/>
  <c r="N18" i="5"/>
  <c r="Q18" i="5"/>
  <c r="N21" i="5"/>
  <c r="V22" i="5"/>
  <c r="Q30" i="5"/>
  <c r="N31" i="5"/>
  <c r="G32" i="5"/>
  <c r="G40" i="5" s="1"/>
  <c r="G41" i="5" s="1"/>
  <c r="N37" i="5"/>
  <c r="Q37" i="5"/>
  <c r="N39" i="5"/>
  <c r="Q39" i="5"/>
  <c r="Q44" i="5"/>
  <c r="Q43" i="5" s="1"/>
  <c r="N46" i="5"/>
  <c r="N48" i="5"/>
  <c r="Q48" i="5"/>
  <c r="O50" i="5"/>
  <c r="N61" i="5"/>
  <c r="Q61" i="5"/>
  <c r="N62" i="5"/>
  <c r="Q62" i="5"/>
  <c r="N65" i="5"/>
  <c r="O76" i="5"/>
  <c r="N82" i="5"/>
  <c r="T82" i="5" s="1"/>
  <c r="U82" i="5" s="1"/>
  <c r="V82" i="5" s="1"/>
  <c r="O93" i="5"/>
  <c r="N95" i="5"/>
  <c r="Q96" i="5"/>
  <c r="N97" i="5"/>
  <c r="Q98" i="5"/>
  <c r="G100" i="5"/>
  <c r="O112" i="5"/>
  <c r="O116" i="5"/>
  <c r="Q117" i="5"/>
  <c r="N124" i="5"/>
  <c r="Q125" i="5"/>
  <c r="O126" i="5"/>
  <c r="N131" i="5"/>
  <c r="Q132" i="5"/>
  <c r="N134" i="5"/>
  <c r="Q135" i="5"/>
  <c r="O148" i="5"/>
  <c r="O159" i="5"/>
  <c r="O161" i="5"/>
  <c r="Q77" i="5"/>
  <c r="N77" i="5"/>
  <c r="Q78" i="5"/>
  <c r="Q94" i="5"/>
  <c r="N94" i="5"/>
  <c r="Q121" i="5"/>
  <c r="N121" i="5"/>
  <c r="Q166" i="5"/>
  <c r="N166" i="5"/>
  <c r="Q182" i="5"/>
  <c r="N182" i="5"/>
  <c r="Q184" i="5"/>
  <c r="N184" i="5"/>
  <c r="O30" i="5"/>
  <c r="N98" i="5"/>
  <c r="N117" i="5"/>
  <c r="N135" i="5"/>
  <c r="G189" i="5"/>
  <c r="N79" i="5"/>
  <c r="T79" i="5" s="1"/>
  <c r="U79" i="5" s="1"/>
  <c r="V79" i="5" s="1"/>
  <c r="N80" i="5"/>
  <c r="T80" i="5" s="1"/>
  <c r="U80" i="5" s="1"/>
  <c r="V80" i="5" s="1"/>
  <c r="N127" i="5"/>
  <c r="N128" i="5"/>
  <c r="Q13" i="5" l="1"/>
  <c r="O105" i="5"/>
  <c r="O104" i="5" s="1"/>
  <c r="O57" i="5"/>
  <c r="O56" i="5" s="1"/>
  <c r="N13" i="5"/>
  <c r="N12" i="5" s="1"/>
  <c r="Q147" i="5"/>
  <c r="T64" i="5"/>
  <c r="U64" i="5" s="1"/>
  <c r="V64" i="5" s="1"/>
  <c r="O13" i="5"/>
  <c r="O12" i="5" s="1"/>
  <c r="U40" i="5"/>
  <c r="H41" i="5"/>
  <c r="U41" i="5" s="1"/>
  <c r="G137" i="5"/>
  <c r="N57" i="5"/>
  <c r="T124" i="5"/>
  <c r="U124" i="5" s="1"/>
  <c r="V124" i="5" s="1"/>
  <c r="T93" i="5"/>
  <c r="U93" i="5" s="1"/>
  <c r="V93" i="5" s="1"/>
  <c r="Q57" i="5"/>
  <c r="N78" i="5"/>
  <c r="T78" i="5" s="1"/>
  <c r="U78" i="5" s="1"/>
  <c r="V78" i="5" s="1"/>
  <c r="T183" i="5"/>
  <c r="U183" i="5" s="1"/>
  <c r="V183" i="5" s="1"/>
  <c r="V34" i="5"/>
  <c r="T74" i="5"/>
  <c r="U74" i="5" s="1"/>
  <c r="V74" i="5" s="1"/>
  <c r="T72" i="5"/>
  <c r="T128" i="5"/>
  <c r="U128" i="5" s="1"/>
  <c r="V128" i="5" s="1"/>
  <c r="T167" i="5"/>
  <c r="U167" i="5" s="1"/>
  <c r="V167" i="5" s="1"/>
  <c r="O177" i="5"/>
  <c r="O176" i="5" s="1"/>
  <c r="O43" i="5"/>
  <c r="O42" i="5" s="1"/>
  <c r="I41" i="5"/>
  <c r="V41" i="5" s="1"/>
  <c r="G69" i="5"/>
  <c r="S69" i="5" s="1"/>
  <c r="G156" i="5"/>
  <c r="S156" i="5" s="1"/>
  <c r="O54" i="5"/>
  <c r="S55" i="5"/>
  <c r="E13" i="4" s="1"/>
  <c r="O22" i="5"/>
  <c r="T20" i="5"/>
  <c r="U20" i="5" s="1"/>
  <c r="V20" i="5" s="1"/>
  <c r="T98" i="5"/>
  <c r="U98" i="5" s="1"/>
  <c r="V98" i="5" s="1"/>
  <c r="T181" i="5"/>
  <c r="U181" i="5" s="1"/>
  <c r="V181" i="5" s="1"/>
  <c r="T134" i="5"/>
  <c r="T116" i="5"/>
  <c r="U116" i="5" s="1"/>
  <c r="V116" i="5" s="1"/>
  <c r="T97" i="5"/>
  <c r="U97" i="5" s="1"/>
  <c r="V97" i="5" s="1"/>
  <c r="T92" i="5"/>
  <c r="U92" i="5" s="1"/>
  <c r="V92" i="5" s="1"/>
  <c r="T34" i="5"/>
  <c r="N54" i="5"/>
  <c r="T153" i="5"/>
  <c r="T123" i="5"/>
  <c r="U123" i="5" s="1"/>
  <c r="V123" i="5" s="1"/>
  <c r="T112" i="5"/>
  <c r="U112" i="5" s="1"/>
  <c r="V112" i="5" s="1"/>
  <c r="T108" i="5"/>
  <c r="U108" i="5" s="1"/>
  <c r="V108" i="5" s="1"/>
  <c r="T15" i="5"/>
  <c r="T127" i="5"/>
  <c r="U127" i="5" s="1"/>
  <c r="V127" i="5" s="1"/>
  <c r="T187" i="5"/>
  <c r="U187" i="5" s="1"/>
  <c r="V187" i="5" s="1"/>
  <c r="T131" i="5"/>
  <c r="T119" i="5"/>
  <c r="U119" i="5" s="1"/>
  <c r="V119" i="5" s="1"/>
  <c r="T95" i="5"/>
  <c r="U95" i="5" s="1"/>
  <c r="V95" i="5" s="1"/>
  <c r="O71" i="5"/>
  <c r="I15" i="4" s="1"/>
  <c r="T50" i="5"/>
  <c r="U50" i="5" s="1"/>
  <c r="V50" i="5" s="1"/>
  <c r="T31" i="5"/>
  <c r="T21" i="5"/>
  <c r="U21" i="5" s="1"/>
  <c r="V21" i="5" s="1"/>
  <c r="T107" i="5"/>
  <c r="U107" i="5" s="1"/>
  <c r="T162" i="5"/>
  <c r="U162" i="5" s="1"/>
  <c r="V162" i="5" s="1"/>
  <c r="T17" i="5"/>
  <c r="U17" i="5" s="1"/>
  <c r="V17" i="5" s="1"/>
  <c r="T47" i="5"/>
  <c r="U47" i="5" s="1"/>
  <c r="V47" i="5" s="1"/>
  <c r="M11" i="4"/>
  <c r="E11" i="4"/>
  <c r="T117" i="5"/>
  <c r="U117" i="5" s="1"/>
  <c r="V117" i="5" s="1"/>
  <c r="T184" i="5"/>
  <c r="U184" i="5" s="1"/>
  <c r="V184" i="5" s="1"/>
  <c r="T182" i="5"/>
  <c r="U182" i="5" s="1"/>
  <c r="V182" i="5" s="1"/>
  <c r="T166" i="5"/>
  <c r="U166" i="5" s="1"/>
  <c r="V166" i="5" s="1"/>
  <c r="T121" i="5"/>
  <c r="U121" i="5" s="1"/>
  <c r="V121" i="5" s="1"/>
  <c r="T94" i="5"/>
  <c r="U94" i="5" s="1"/>
  <c r="V94" i="5" s="1"/>
  <c r="T77" i="5"/>
  <c r="U77" i="5" s="1"/>
  <c r="V77" i="5" s="1"/>
  <c r="Q68" i="5"/>
  <c r="N22" i="5"/>
  <c r="Q22" i="5"/>
  <c r="Q54" i="5"/>
  <c r="N68" i="5"/>
  <c r="T68" i="5" s="1"/>
  <c r="Q71" i="5"/>
  <c r="J15" i="4" s="1"/>
  <c r="T65" i="5"/>
  <c r="U65" i="5" s="1"/>
  <c r="V65" i="5" s="1"/>
  <c r="T62" i="5"/>
  <c r="T46" i="5"/>
  <c r="U46" i="5" s="1"/>
  <c r="V46" i="5" s="1"/>
  <c r="T16" i="5"/>
  <c r="T186" i="5"/>
  <c r="U186" i="5" s="1"/>
  <c r="V186" i="5" s="1"/>
  <c r="T179" i="5"/>
  <c r="U179" i="5" s="1"/>
  <c r="V179" i="5" s="1"/>
  <c r="T163" i="5"/>
  <c r="U163" i="5" s="1"/>
  <c r="V163" i="5" s="1"/>
  <c r="T154" i="5"/>
  <c r="U154" i="5" s="1"/>
  <c r="V154" i="5" s="1"/>
  <c r="T118" i="5"/>
  <c r="U118" i="5" s="1"/>
  <c r="V118" i="5" s="1"/>
  <c r="T114" i="5"/>
  <c r="U114" i="5" s="1"/>
  <c r="V114" i="5" s="1"/>
  <c r="T75" i="5"/>
  <c r="U75" i="5" s="1"/>
  <c r="V75" i="5" s="1"/>
  <c r="T185" i="5"/>
  <c r="U185" i="5" s="1"/>
  <c r="V185" i="5" s="1"/>
  <c r="O89" i="5"/>
  <c r="O88" i="5" s="1"/>
  <c r="O188" i="5"/>
  <c r="N188" i="5"/>
  <c r="S189" i="5"/>
  <c r="Q188" i="5"/>
  <c r="Q168" i="5"/>
  <c r="O168" i="5"/>
  <c r="S169" i="5"/>
  <c r="N168" i="5"/>
  <c r="O99" i="5"/>
  <c r="Q99" i="5"/>
  <c r="N99" i="5"/>
  <c r="S100" i="5"/>
  <c r="U37" i="5"/>
  <c r="V37" i="5" s="1"/>
  <c r="T37" i="5"/>
  <c r="T33" i="5"/>
  <c r="V33" i="5"/>
  <c r="T30" i="5"/>
  <c r="T18" i="5"/>
  <c r="U18" i="5" s="1"/>
  <c r="V18" i="5" s="1"/>
  <c r="T148" i="5"/>
  <c r="N147" i="5"/>
  <c r="N155" i="5"/>
  <c r="O155" i="5"/>
  <c r="S12" i="5"/>
  <c r="T23" i="5"/>
  <c r="O158" i="5"/>
  <c r="O147" i="5"/>
  <c r="T76" i="5"/>
  <c r="T48" i="5"/>
  <c r="U48" i="5" s="1"/>
  <c r="V48" i="5" s="1"/>
  <c r="T132" i="5"/>
  <c r="Q177" i="5"/>
  <c r="T159" i="5"/>
  <c r="Q89" i="5"/>
  <c r="T161" i="5"/>
  <c r="U161" i="5" s="1"/>
  <c r="V161" i="5" s="1"/>
  <c r="T61" i="5"/>
  <c r="T44" i="5"/>
  <c r="N43" i="5"/>
  <c r="U39" i="5"/>
  <c r="T39" i="5"/>
  <c r="N32" i="5"/>
  <c r="N28" i="5" s="1"/>
  <c r="O32" i="5"/>
  <c r="O28" i="5" s="1"/>
  <c r="Q32" i="5"/>
  <c r="Q28" i="5" s="1"/>
  <c r="O83" i="5"/>
  <c r="Q83" i="5"/>
  <c r="S84" i="5"/>
  <c r="N177" i="5"/>
  <c r="N176" i="5" s="1"/>
  <c r="T178" i="5"/>
  <c r="T90" i="5"/>
  <c r="N89" i="5"/>
  <c r="N88" i="5" s="1"/>
  <c r="N113" i="5"/>
  <c r="N105" i="5" s="1"/>
  <c r="N104" i="5" s="1"/>
  <c r="Q113" i="5"/>
  <c r="T38" i="5"/>
  <c r="U38" i="5"/>
  <c r="V38" i="5" s="1"/>
  <c r="T125" i="5"/>
  <c r="U125" i="5" s="1"/>
  <c r="V125" i="5" s="1"/>
  <c r="T96" i="5"/>
  <c r="U96" i="5" s="1"/>
  <c r="V96" i="5" s="1"/>
  <c r="N158" i="5"/>
  <c r="N157" i="5" s="1"/>
  <c r="T126" i="5"/>
  <c r="U126" i="5" s="1"/>
  <c r="V126" i="5" s="1"/>
  <c r="T109" i="5"/>
  <c r="U109" i="5" s="1"/>
  <c r="V109" i="5" s="1"/>
  <c r="Q158" i="5"/>
  <c r="T14" i="5"/>
  <c r="J18" i="4" l="1"/>
  <c r="Q146" i="5"/>
  <c r="Q105" i="5"/>
  <c r="J17" i="4" s="1"/>
  <c r="T43" i="5"/>
  <c r="T13" i="5"/>
  <c r="U15" i="5"/>
  <c r="V15" i="5" s="1"/>
  <c r="AB146" i="5"/>
  <c r="AC146" i="5" s="1"/>
  <c r="Q12" i="5"/>
  <c r="T147" i="5"/>
  <c r="B18" i="4" s="1"/>
  <c r="T155" i="5"/>
  <c r="Q209" i="5"/>
  <c r="U76" i="5"/>
  <c r="V76" i="5" s="1"/>
  <c r="T71" i="5"/>
  <c r="B15" i="4" s="1"/>
  <c r="U62" i="5"/>
  <c r="V62" i="5" s="1"/>
  <c r="T57" i="5"/>
  <c r="U150" i="5"/>
  <c r="V150" i="5" s="1"/>
  <c r="G20" i="4"/>
  <c r="G19" i="4"/>
  <c r="G17" i="4"/>
  <c r="N71" i="5"/>
  <c r="G15" i="4" s="1"/>
  <c r="U72" i="5"/>
  <c r="V72" i="5" s="1"/>
  <c r="U153" i="5"/>
  <c r="V153" i="5" s="1"/>
  <c r="I14" i="4"/>
  <c r="T54" i="5"/>
  <c r="S41" i="5"/>
  <c r="E12" i="4" s="1"/>
  <c r="G200" i="5"/>
  <c r="I20" i="4"/>
  <c r="N40" i="5"/>
  <c r="O40" i="5"/>
  <c r="Q40" i="5"/>
  <c r="D12" i="4" s="1"/>
  <c r="O70" i="5"/>
  <c r="I16" i="4"/>
  <c r="I13" i="4"/>
  <c r="E14" i="4"/>
  <c r="S56" i="5"/>
  <c r="M14" i="4"/>
  <c r="T69" i="5"/>
  <c r="AA57" i="5" s="1"/>
  <c r="T55" i="5"/>
  <c r="AA43" i="5" s="1"/>
  <c r="M13" i="4"/>
  <c r="S42" i="5"/>
  <c r="Q157" i="5"/>
  <c r="X157" i="5" s="1"/>
  <c r="Y157" i="5" s="1"/>
  <c r="J19" i="4"/>
  <c r="Q70" i="5"/>
  <c r="X70" i="5" s="1"/>
  <c r="Y70" i="5" s="1"/>
  <c r="K15" i="4"/>
  <c r="D15" i="4"/>
  <c r="J12" i="4"/>
  <c r="Q88" i="5"/>
  <c r="AB88" i="5" s="1"/>
  <c r="AC88" i="5" s="1"/>
  <c r="J16" i="4"/>
  <c r="Q176" i="5"/>
  <c r="X176" i="5" s="1"/>
  <c r="Y176" i="5" s="1"/>
  <c r="J20" i="4"/>
  <c r="Q42" i="5"/>
  <c r="J13" i="4"/>
  <c r="Q56" i="5"/>
  <c r="X56" i="5" s="1"/>
  <c r="Y56" i="5" s="1"/>
  <c r="J14" i="4"/>
  <c r="K18" i="4"/>
  <c r="D18" i="4"/>
  <c r="M19" i="4"/>
  <c r="E19" i="4"/>
  <c r="K19" i="4"/>
  <c r="D19" i="4"/>
  <c r="M20" i="4"/>
  <c r="E20" i="4"/>
  <c r="M12" i="4"/>
  <c r="K11" i="4"/>
  <c r="D11" i="4"/>
  <c r="K14" i="4"/>
  <c r="D14" i="4"/>
  <c r="M15" i="4"/>
  <c r="E15" i="4"/>
  <c r="M18" i="4"/>
  <c r="E18" i="4"/>
  <c r="E16" i="4"/>
  <c r="M16" i="4"/>
  <c r="K16" i="4"/>
  <c r="D16" i="4"/>
  <c r="K20" i="4"/>
  <c r="D20" i="4"/>
  <c r="K13" i="4"/>
  <c r="D13" i="4"/>
  <c r="T22" i="5"/>
  <c r="T168" i="5"/>
  <c r="I17" i="4"/>
  <c r="O27" i="5"/>
  <c r="I12" i="4"/>
  <c r="U90" i="5"/>
  <c r="T89" i="5"/>
  <c r="U44" i="5"/>
  <c r="U61" i="5"/>
  <c r="T158" i="5"/>
  <c r="U159" i="5"/>
  <c r="O157" i="5"/>
  <c r="I19" i="4"/>
  <c r="N146" i="5"/>
  <c r="G18" i="4"/>
  <c r="G11" i="4"/>
  <c r="P11" i="4" s="1"/>
  <c r="U30" i="5"/>
  <c r="V169" i="5"/>
  <c r="T169" i="5"/>
  <c r="S157" i="5"/>
  <c r="U169" i="5"/>
  <c r="AA158" i="5" s="1"/>
  <c r="V107" i="5"/>
  <c r="T32" i="5"/>
  <c r="U32" i="5" s="1"/>
  <c r="V32" i="5" s="1"/>
  <c r="T99" i="5"/>
  <c r="T188" i="5"/>
  <c r="S137" i="5"/>
  <c r="Q136" i="5"/>
  <c r="O136" i="5"/>
  <c r="G16" i="4"/>
  <c r="U178" i="5"/>
  <c r="T177" i="5"/>
  <c r="T84" i="5"/>
  <c r="S70" i="5"/>
  <c r="N42" i="5"/>
  <c r="G13" i="4"/>
  <c r="G14" i="4"/>
  <c r="N56" i="5"/>
  <c r="O146" i="5"/>
  <c r="I18" i="4"/>
  <c r="T156" i="5"/>
  <c r="S146" i="5"/>
  <c r="U148" i="5"/>
  <c r="T100" i="5"/>
  <c r="S88" i="5"/>
  <c r="T189" i="5"/>
  <c r="U189" i="5" s="1"/>
  <c r="S176" i="5"/>
  <c r="T113" i="5"/>
  <c r="U113" i="5" s="1"/>
  <c r="V113" i="5" s="1"/>
  <c r="T83" i="5"/>
  <c r="W77" i="5"/>
  <c r="Y144" i="1"/>
  <c r="E148" i="1"/>
  <c r="L18" i="4" l="1"/>
  <c r="S18" i="4" s="1"/>
  <c r="Y18" i="4"/>
  <c r="X18" i="4"/>
  <c r="U28" i="5"/>
  <c r="U27" i="5" s="1"/>
  <c r="X30" i="5" s="1"/>
  <c r="U57" i="5"/>
  <c r="U56" i="5" s="1"/>
  <c r="T176" i="5"/>
  <c r="T157" i="5"/>
  <c r="X146" i="5"/>
  <c r="Y146" i="5" s="1"/>
  <c r="U13" i="5"/>
  <c r="U12" i="5" s="1"/>
  <c r="B16" i="4"/>
  <c r="T88" i="5"/>
  <c r="T12" i="5"/>
  <c r="U188" i="5"/>
  <c r="V188" i="5" s="1"/>
  <c r="U168" i="5"/>
  <c r="V168" i="5" s="1"/>
  <c r="V71" i="5"/>
  <c r="U71" i="5"/>
  <c r="U70" i="5" s="1"/>
  <c r="Q27" i="5"/>
  <c r="AB27" i="5" s="1"/>
  <c r="AC27" i="5" s="1"/>
  <c r="Q210" i="5"/>
  <c r="Q211" i="5" s="1"/>
  <c r="AB42" i="5"/>
  <c r="AC42" i="5" s="1"/>
  <c r="N70" i="5"/>
  <c r="B20" i="4"/>
  <c r="B19" i="4"/>
  <c r="T105" i="5"/>
  <c r="T41" i="5"/>
  <c r="S27" i="5"/>
  <c r="E154" i="1"/>
  <c r="T40" i="5"/>
  <c r="K12" i="4"/>
  <c r="AB56" i="5"/>
  <c r="X88" i="5"/>
  <c r="Y88" i="5" s="1"/>
  <c r="AB157" i="5"/>
  <c r="AC157" i="5" s="1"/>
  <c r="AB176" i="5"/>
  <c r="AC176" i="5" s="1"/>
  <c r="AB70" i="5"/>
  <c r="AC70" i="5" s="1"/>
  <c r="X42" i="5"/>
  <c r="Y42" i="5" s="1"/>
  <c r="AD144" i="1"/>
  <c r="AE144" i="1"/>
  <c r="AC144" i="1"/>
  <c r="U105" i="5"/>
  <c r="V105" i="5"/>
  <c r="E17" i="4"/>
  <c r="M17" i="4"/>
  <c r="AB12" i="5"/>
  <c r="AC12" i="5" s="1"/>
  <c r="X12" i="5"/>
  <c r="Y12" i="5" s="1"/>
  <c r="T136" i="5"/>
  <c r="K17" i="4"/>
  <c r="D17" i="4"/>
  <c r="T56" i="5"/>
  <c r="B14" i="4"/>
  <c r="T42" i="5"/>
  <c r="B13" i="4"/>
  <c r="T201" i="5"/>
  <c r="Q201" i="5"/>
  <c r="V189" i="5"/>
  <c r="AA177" i="5"/>
  <c r="AA89" i="5"/>
  <c r="U147" i="5"/>
  <c r="U146" i="5" s="1"/>
  <c r="V148" i="5"/>
  <c r="V147" i="5" s="1"/>
  <c r="AA147" i="5"/>
  <c r="AA71" i="5"/>
  <c r="U177" i="5"/>
  <c r="V178" i="5"/>
  <c r="V177" i="5" s="1"/>
  <c r="V30" i="5"/>
  <c r="V28" i="5" s="1"/>
  <c r="V27" i="5" s="1"/>
  <c r="N27" i="5"/>
  <c r="G12" i="4"/>
  <c r="T137" i="5"/>
  <c r="S104" i="5"/>
  <c r="V159" i="5"/>
  <c r="V158" i="5" s="1"/>
  <c r="U158" i="5"/>
  <c r="V61" i="5"/>
  <c r="U43" i="5"/>
  <c r="U42" i="5" s="1"/>
  <c r="V44" i="5"/>
  <c r="V43" i="5" s="1"/>
  <c r="V90" i="5"/>
  <c r="V89" i="5" s="1"/>
  <c r="V88" i="5" s="1"/>
  <c r="U89" i="5"/>
  <c r="U88" i="5" s="1"/>
  <c r="V14" i="5"/>
  <c r="Q104" i="5"/>
  <c r="T146" i="5"/>
  <c r="T28" i="5"/>
  <c r="O200" i="5"/>
  <c r="Y102" i="1"/>
  <c r="F106" i="1"/>
  <c r="F105" i="1"/>
  <c r="E106" i="1"/>
  <c r="E105" i="1"/>
  <c r="F73" i="1"/>
  <c r="E73" i="1"/>
  <c r="R49" i="1"/>
  <c r="V157" i="5" l="1"/>
  <c r="S200" i="5"/>
  <c r="V176" i="5"/>
  <c r="T104" i="5"/>
  <c r="U104" i="5"/>
  <c r="X107" i="5" s="1"/>
  <c r="U157" i="5"/>
  <c r="AB158" i="5" s="1"/>
  <c r="U176" i="5"/>
  <c r="X178" i="5" s="1"/>
  <c r="Q200" i="5"/>
  <c r="Q213" i="5" s="1"/>
  <c r="X27" i="5"/>
  <c r="Y27" i="5" s="1"/>
  <c r="V13" i="5"/>
  <c r="V12" i="5" s="1"/>
  <c r="N200" i="5"/>
  <c r="B17" i="4"/>
  <c r="V57" i="5"/>
  <c r="V56" i="5" s="1"/>
  <c r="V42" i="5"/>
  <c r="AB144" i="1"/>
  <c r="U144" i="1" s="1"/>
  <c r="AD62" i="1"/>
  <c r="AC62" i="1"/>
  <c r="AE62" i="1"/>
  <c r="H73" i="1"/>
  <c r="Y62" i="1"/>
  <c r="Z62" i="1"/>
  <c r="X62" i="1"/>
  <c r="I73" i="1"/>
  <c r="AD102" i="1"/>
  <c r="AE102" i="1"/>
  <c r="AC102" i="1"/>
  <c r="T27" i="5"/>
  <c r="B12" i="4"/>
  <c r="V146" i="5"/>
  <c r="X14" i="5"/>
  <c r="X22" i="5" s="1"/>
  <c r="AA11" i="5"/>
  <c r="AB89" i="5"/>
  <c r="X92" i="5"/>
  <c r="X61" i="5"/>
  <c r="AB57" i="5"/>
  <c r="AB104" i="5"/>
  <c r="AC104" i="5" s="1"/>
  <c r="X104" i="5"/>
  <c r="Y104" i="5" s="1"/>
  <c r="X44" i="5"/>
  <c r="AB43" i="5"/>
  <c r="V104" i="5"/>
  <c r="AA105" i="5"/>
  <c r="X148" i="5"/>
  <c r="AB147" i="5"/>
  <c r="X162" i="5" l="1"/>
  <c r="AB177" i="5"/>
  <c r="AB105" i="5"/>
  <c r="AB102" i="1"/>
  <c r="U102" i="1" s="1"/>
  <c r="AB62" i="1"/>
  <c r="W62" i="1"/>
  <c r="T62" i="1" s="1"/>
  <c r="AB219" i="1"/>
  <c r="U219" i="1" s="1"/>
  <c r="W219" i="1"/>
  <c r="T219" i="1" s="1"/>
  <c r="I29" i="1" l="1"/>
  <c r="H29" i="1"/>
  <c r="F29" i="1"/>
  <c r="F25" i="1"/>
  <c r="P16" i="4" l="1"/>
  <c r="I191" i="1" l="1"/>
  <c r="H191" i="1"/>
  <c r="F191" i="1"/>
  <c r="O120" i="1"/>
  <c r="F154" i="1" l="1"/>
  <c r="J63" i="1"/>
  <c r="E79" i="1"/>
  <c r="F79" i="1"/>
  <c r="R63" i="1" l="1"/>
  <c r="P63" i="1"/>
  <c r="O63" i="1"/>
  <c r="N63" i="1" l="1"/>
  <c r="F30" i="1"/>
  <c r="Z13" i="4" l="1"/>
  <c r="R12" i="4"/>
  <c r="W21" i="4" l="1"/>
  <c r="W24" i="4" s="1"/>
  <c r="K245" i="1" l="1"/>
  <c r="K239" i="1"/>
  <c r="K228" i="1"/>
  <c r="J145" i="1"/>
  <c r="J103" i="1"/>
  <c r="P212" i="1"/>
  <c r="K204" i="1"/>
  <c r="K196" i="1"/>
  <c r="K184" i="1"/>
  <c r="K159" i="1"/>
  <c r="K153" i="1"/>
  <c r="K142" i="1"/>
  <c r="O142" i="1" s="1"/>
  <c r="I154" i="1"/>
  <c r="H154" i="1"/>
  <c r="K118" i="1"/>
  <c r="K110" i="1"/>
  <c r="K100" i="1"/>
  <c r="K78" i="1"/>
  <c r="K72" i="1"/>
  <c r="K60" i="1"/>
  <c r="O60" i="1" s="1"/>
  <c r="K36" i="1"/>
  <c r="K29" i="1"/>
  <c r="K20" i="1"/>
  <c r="E111" i="1"/>
  <c r="I111" i="1"/>
  <c r="T29" i="1" l="1"/>
  <c r="U29" i="1"/>
  <c r="T60" i="1"/>
  <c r="U60" i="1"/>
  <c r="U78" i="1"/>
  <c r="T78" i="1"/>
  <c r="T110" i="1"/>
  <c r="U110" i="1"/>
  <c r="T153" i="1"/>
  <c r="U153" i="1"/>
  <c r="T184" i="1"/>
  <c r="U184" i="1"/>
  <c r="T204" i="1"/>
  <c r="U204" i="1"/>
  <c r="T228" i="1"/>
  <c r="U228" i="1"/>
  <c r="O245" i="1"/>
  <c r="T245" i="1"/>
  <c r="U245" i="1"/>
  <c r="T20" i="1"/>
  <c r="U20" i="1"/>
  <c r="U36" i="1"/>
  <c r="T36" i="1"/>
  <c r="U72" i="1"/>
  <c r="T72" i="1"/>
  <c r="U100" i="1"/>
  <c r="T100" i="1"/>
  <c r="T118" i="1"/>
  <c r="U118" i="1"/>
  <c r="T142" i="1"/>
  <c r="U142" i="1"/>
  <c r="U159" i="1"/>
  <c r="T159" i="1"/>
  <c r="T196" i="1"/>
  <c r="U196" i="1"/>
  <c r="T239" i="1"/>
  <c r="U239" i="1"/>
  <c r="O145" i="1"/>
  <c r="O103" i="1"/>
  <c r="R145" i="1"/>
  <c r="R103" i="1"/>
  <c r="T169" i="1" l="1"/>
  <c r="U127" i="1"/>
  <c r="T45" i="1"/>
  <c r="N103" i="1"/>
  <c r="U169" i="1"/>
  <c r="T127" i="1"/>
  <c r="T87" i="1"/>
  <c r="U87" i="1"/>
  <c r="N145" i="1"/>
  <c r="AB218" i="1"/>
  <c r="U218" i="1" s="1"/>
  <c r="W218" i="1"/>
  <c r="T218" i="1" s="1"/>
  <c r="AC21" i="4"/>
  <c r="O21" i="4"/>
  <c r="AF21" i="4" s="1"/>
  <c r="AE20" i="4"/>
  <c r="AG20" i="4" s="1"/>
  <c r="AD20" i="4"/>
  <c r="AE19" i="4"/>
  <c r="AG19" i="4" s="1"/>
  <c r="AD19" i="4"/>
  <c r="AE18" i="4"/>
  <c r="AG18" i="4" s="1"/>
  <c r="Z18" i="4"/>
  <c r="AD18" i="4" s="1"/>
  <c r="AE17" i="4"/>
  <c r="AG17" i="4" s="1"/>
  <c r="AD17" i="4"/>
  <c r="AE16" i="4"/>
  <c r="AG16" i="4" s="1"/>
  <c r="AD16" i="4"/>
  <c r="AE15" i="4"/>
  <c r="AG15" i="4" s="1"/>
  <c r="AD15" i="4"/>
  <c r="AK15" i="4" s="1"/>
  <c r="AE14" i="4"/>
  <c r="AG14" i="4" s="1"/>
  <c r="AE13" i="4"/>
  <c r="AG13" i="4" s="1"/>
  <c r="AE12" i="4"/>
  <c r="AG12" i="4" s="1"/>
  <c r="AE11" i="4"/>
  <c r="AG11" i="4" s="1"/>
  <c r="V21" i="4"/>
  <c r="P19" i="4" l="1"/>
  <c r="I11" i="4"/>
  <c r="R11" i="4" s="1"/>
  <c r="P17" i="4"/>
  <c r="Z12" i="4"/>
  <c r="AD12" i="4" s="1"/>
  <c r="AK12" i="4" s="1"/>
  <c r="AD14" i="4"/>
  <c r="AK14" i="4" s="1"/>
  <c r="T21" i="4"/>
  <c r="AD13" i="4"/>
  <c r="AK13" i="4" s="1"/>
  <c r="R19" i="4"/>
  <c r="J11" i="4"/>
  <c r="R14" i="4"/>
  <c r="R16" i="4"/>
  <c r="R13" i="4"/>
  <c r="R15" i="4"/>
  <c r="R17" i="4"/>
  <c r="R20" i="4"/>
  <c r="L11" i="4" l="1"/>
  <c r="J21" i="4"/>
  <c r="L20" i="4"/>
  <c r="AA18" i="4"/>
  <c r="L15" i="4"/>
  <c r="P14" i="4"/>
  <c r="L13" i="4"/>
  <c r="L17" i="4"/>
  <c r="L19" i="4"/>
  <c r="L14" i="4"/>
  <c r="P18" i="4"/>
  <c r="P15" i="4"/>
  <c r="Z21" i="4"/>
  <c r="AD11" i="4"/>
  <c r="AH21" i="4"/>
  <c r="AG21" i="4"/>
  <c r="AI21" i="4"/>
  <c r="S13" i="4" l="1"/>
  <c r="Y13" i="4"/>
  <c r="X13" i="4"/>
  <c r="S20" i="4"/>
  <c r="X20" i="4"/>
  <c r="Y20" i="4"/>
  <c r="S14" i="4"/>
  <c r="X14" i="4"/>
  <c r="Y14" i="4"/>
  <c r="N19" i="4"/>
  <c r="Y19" i="4"/>
  <c r="X19" i="4"/>
  <c r="S15" i="4"/>
  <c r="X15" i="4"/>
  <c r="Y15" i="4"/>
  <c r="AM11" i="4"/>
  <c r="Y11" i="4"/>
  <c r="S17" i="4"/>
  <c r="X17" i="4"/>
  <c r="Y17" i="4"/>
  <c r="X11" i="4"/>
  <c r="AM20" i="4"/>
  <c r="AM17" i="4"/>
  <c r="AM13" i="4"/>
  <c r="AM15" i="4"/>
  <c r="N11" i="4"/>
  <c r="AA14" i="4"/>
  <c r="AM14" i="4"/>
  <c r="AF20" i="4"/>
  <c r="N20" i="4"/>
  <c r="S19" i="4"/>
  <c r="AA19" i="4" s="1"/>
  <c r="N17" i="4"/>
  <c r="AF15" i="4"/>
  <c r="N15" i="4"/>
  <c r="AD21" i="4"/>
  <c r="AB18" i="4"/>
  <c r="F17" i="4"/>
  <c r="P13" i="4"/>
  <c r="F14" i="4"/>
  <c r="N14" i="4"/>
  <c r="L12" i="4"/>
  <c r="P12" i="4"/>
  <c r="F19" i="4"/>
  <c r="B11" i="4"/>
  <c r="F20" i="4"/>
  <c r="F16" i="4"/>
  <c r="S12" i="4" l="1"/>
  <c r="X12" i="4"/>
  <c r="Y12" i="4"/>
  <c r="AA17" i="4"/>
  <c r="AM12" i="4"/>
  <c r="AM21" i="4" s="1"/>
  <c r="AF14" i="4"/>
  <c r="AH14" i="4" s="1"/>
  <c r="AB17" i="4"/>
  <c r="AA20" i="4"/>
  <c r="AB19" i="4"/>
  <c r="AA15" i="4"/>
  <c r="AF19" i="4"/>
  <c r="AH19" i="4" s="1"/>
  <c r="AB15" i="4"/>
  <c r="AF13" i="4"/>
  <c r="AA13" i="4"/>
  <c r="AK21" i="4"/>
  <c r="AJ21" i="4"/>
  <c r="AF17" i="4"/>
  <c r="AH17" i="4" s="1"/>
  <c r="AB20" i="4"/>
  <c r="AF18" i="4"/>
  <c r="AH18" i="4" s="1"/>
  <c r="F12" i="4"/>
  <c r="F18" i="4"/>
  <c r="N12" i="4"/>
  <c r="K21" i="4"/>
  <c r="L21" i="4" s="1"/>
  <c r="S11" i="4"/>
  <c r="R18" i="4"/>
  <c r="N18" i="4"/>
  <c r="I21" i="4"/>
  <c r="R21" i="4" s="1"/>
  <c r="E21" i="4"/>
  <c r="G21" i="4"/>
  <c r="AH20" i="4"/>
  <c r="F13" i="4"/>
  <c r="F11" i="4"/>
  <c r="P20" i="4"/>
  <c r="D21" i="4"/>
  <c r="L16" i="4"/>
  <c r="M21" i="4"/>
  <c r="N13" i="4"/>
  <c r="S16" i="4" l="1"/>
  <c r="Y16" i="4"/>
  <c r="X16" i="4"/>
  <c r="AA16" i="4" s="1"/>
  <c r="AB14" i="4"/>
  <c r="N27" i="4"/>
  <c r="N21" i="4"/>
  <c r="Z26" i="4" s="1"/>
  <c r="N25" i="4"/>
  <c r="AA11" i="4"/>
  <c r="AB13" i="4"/>
  <c r="N16" i="4"/>
  <c r="AF16" i="4"/>
  <c r="AH16" i="4" s="1"/>
  <c r="AH13" i="4"/>
  <c r="P21" i="4"/>
  <c r="J33" i="4"/>
  <c r="S21" i="4"/>
  <c r="AB16" i="4" l="1"/>
  <c r="X21" i="4"/>
  <c r="AA12" i="4"/>
  <c r="AA21" i="4" s="1"/>
  <c r="AE21" i="4"/>
  <c r="AB12" i="4"/>
  <c r="AF12" i="4"/>
  <c r="AH12" i="4" s="1"/>
  <c r="AF11" i="4"/>
  <c r="AH11" i="4" s="1"/>
  <c r="AB11" i="4"/>
  <c r="Y21" i="4"/>
  <c r="W33" i="4" s="1"/>
  <c r="AB21" i="4" l="1"/>
  <c r="I56" i="1"/>
  <c r="H56" i="1"/>
  <c r="F56" i="1"/>
  <c r="E56" i="1"/>
  <c r="AE9" i="1" l="1"/>
  <c r="Z9" i="1"/>
  <c r="AE22" i="1"/>
  <c r="Z22" i="1"/>
  <c r="AE31" i="1"/>
  <c r="Z31" i="1"/>
  <c r="AE35" i="1"/>
  <c r="Z35" i="1"/>
  <c r="Z112" i="1"/>
  <c r="Z141" i="1"/>
  <c r="Z155" i="1"/>
  <c r="W231" i="1" l="1"/>
  <c r="T231" i="1" s="1"/>
  <c r="AB231" i="1"/>
  <c r="U231" i="1" s="1"/>
  <c r="AB241" i="1"/>
  <c r="U241" i="1" s="1"/>
  <c r="W241" i="1"/>
  <c r="T241" i="1" s="1"/>
  <c r="F157" i="1" l="1"/>
  <c r="E157" i="1"/>
  <c r="I114" i="1" l="1"/>
  <c r="H114" i="1"/>
  <c r="F114" i="1"/>
  <c r="E114" i="1"/>
  <c r="O131" i="1" l="1"/>
  <c r="Z91" i="1"/>
  <c r="Z102" i="1"/>
  <c r="Z144" i="1"/>
  <c r="Z131" i="1"/>
  <c r="AE91" i="1"/>
  <c r="U210" i="1" l="1"/>
  <c r="T210" i="1"/>
  <c r="U211" i="1"/>
  <c r="T211" i="1"/>
  <c r="P155" i="1" l="1"/>
  <c r="P62" i="1"/>
  <c r="R62" i="1" l="1"/>
  <c r="G165" i="1"/>
  <c r="G166" i="1"/>
  <c r="G167" i="1"/>
  <c r="P77" i="1"/>
  <c r="G205" i="1" l="1"/>
  <c r="G185" i="1"/>
  <c r="G217" i="1" l="1"/>
  <c r="X155" i="1" l="1"/>
  <c r="X112" i="1"/>
  <c r="W112" i="1" s="1"/>
  <c r="T112" i="1" s="1"/>
  <c r="AC31" i="1" l="1"/>
  <c r="AB31" i="1" s="1"/>
  <c r="U31" i="1" s="1"/>
  <c r="X31" i="1"/>
  <c r="W31" i="1" s="1"/>
  <c r="T31" i="1" s="1"/>
  <c r="AC35" i="1"/>
  <c r="AB35" i="1" s="1"/>
  <c r="U35" i="1" s="1"/>
  <c r="X35" i="1"/>
  <c r="W35" i="1" s="1"/>
  <c r="T35" i="1" s="1"/>
  <c r="AA155" i="1"/>
  <c r="W155" i="1" s="1"/>
  <c r="T155" i="1" s="1"/>
  <c r="X144" i="1"/>
  <c r="W144" i="1" s="1"/>
  <c r="T144" i="1" s="1"/>
  <c r="X141" i="1"/>
  <c r="W141" i="1" s="1"/>
  <c r="T141" i="1" s="1"/>
  <c r="X131" i="1"/>
  <c r="W131" i="1" s="1"/>
  <c r="T131" i="1" s="1"/>
  <c r="P124" i="1"/>
  <c r="X102" i="1"/>
  <c r="W102" i="1" s="1"/>
  <c r="T102" i="1" s="1"/>
  <c r="AC9" i="1" l="1"/>
  <c r="AB9" i="1" s="1"/>
  <c r="U9" i="1" s="1"/>
  <c r="X9" i="1"/>
  <c r="W9" i="1" s="1"/>
  <c r="T9" i="1" s="1"/>
  <c r="AC22" i="1"/>
  <c r="AB22" i="1" s="1"/>
  <c r="U22" i="1" s="1"/>
  <c r="X22" i="1"/>
  <c r="W22" i="1" s="1"/>
  <c r="T22" i="1" s="1"/>
  <c r="X91" i="1"/>
  <c r="W91" i="1" s="1"/>
  <c r="T91" i="1" s="1"/>
  <c r="AC91" i="1"/>
  <c r="AB91" i="1" s="1"/>
  <c r="U91" i="1" s="1"/>
  <c r="J203" i="1" l="1"/>
  <c r="J221" i="1"/>
  <c r="O221" i="1"/>
  <c r="N221" i="1" s="1"/>
  <c r="N124" i="1"/>
  <c r="I234" i="1" l="1"/>
  <c r="H234" i="1"/>
  <c r="F234" i="1"/>
  <c r="E234" i="1"/>
  <c r="P209" i="1" l="1"/>
  <c r="C387" i="1" l="1"/>
  <c r="O383" i="1"/>
  <c r="N383" i="1"/>
  <c r="M383" i="1"/>
  <c r="O380" i="1"/>
  <c r="N380" i="1"/>
  <c r="M380" i="1"/>
  <c r="L379" i="1"/>
  <c r="C372" i="1"/>
  <c r="P368" i="1"/>
  <c r="O368" i="1"/>
  <c r="N368" i="1"/>
  <c r="P365" i="1"/>
  <c r="O365" i="1"/>
  <c r="N365" i="1"/>
  <c r="M364" i="1"/>
  <c r="C359" i="1"/>
  <c r="N355" i="1"/>
  <c r="M355" i="1"/>
  <c r="L355" i="1"/>
  <c r="N352" i="1"/>
  <c r="M352" i="1"/>
  <c r="L352" i="1"/>
  <c r="K351" i="1"/>
  <c r="C346" i="1"/>
  <c r="N342" i="1"/>
  <c r="M342" i="1"/>
  <c r="L342" i="1"/>
  <c r="N339" i="1"/>
  <c r="M339" i="1"/>
  <c r="L339" i="1"/>
  <c r="K338" i="1"/>
  <c r="C333" i="1"/>
  <c r="N329" i="1"/>
  <c r="M329" i="1"/>
  <c r="L329" i="1"/>
  <c r="N326" i="1"/>
  <c r="M326" i="1"/>
  <c r="L326" i="1"/>
  <c r="K325" i="1"/>
  <c r="C317" i="1"/>
  <c r="N313" i="1"/>
  <c r="M313" i="1"/>
  <c r="L313" i="1"/>
  <c r="N310" i="1"/>
  <c r="M310" i="1"/>
  <c r="L310" i="1"/>
  <c r="K309" i="1"/>
  <c r="S258" i="1"/>
  <c r="Q258" i="1"/>
  <c r="P257" i="1"/>
  <c r="T257" i="1" s="1"/>
  <c r="U257" i="1" s="1"/>
  <c r="P256" i="1"/>
  <c r="T255" i="1"/>
  <c r="U255" i="1" s="1"/>
  <c r="P255" i="1"/>
  <c r="N255" i="1"/>
  <c r="U254" i="1"/>
  <c r="N253" i="1"/>
  <c r="N252" i="1"/>
  <c r="T251" i="1"/>
  <c r="U251" i="1" s="1"/>
  <c r="N251" i="1"/>
  <c r="T250" i="1"/>
  <c r="U250" i="1" s="1"/>
  <c r="N250" i="1"/>
  <c r="R249" i="1"/>
  <c r="P249" i="1"/>
  <c r="M249" i="1"/>
  <c r="I249" i="1"/>
  <c r="H249" i="1"/>
  <c r="F249" i="1"/>
  <c r="E249" i="1"/>
  <c r="J247" i="1"/>
  <c r="O247" i="1"/>
  <c r="I246" i="1"/>
  <c r="H246" i="1"/>
  <c r="G246" i="1"/>
  <c r="F246" i="1"/>
  <c r="E246" i="1"/>
  <c r="J244" i="1"/>
  <c r="J243" i="1"/>
  <c r="R246" i="1"/>
  <c r="P246" i="1"/>
  <c r="J239" i="1"/>
  <c r="O239" i="1"/>
  <c r="U238" i="1"/>
  <c r="T238" i="1"/>
  <c r="J238" i="1"/>
  <c r="O238" i="1"/>
  <c r="N238" i="1" s="1"/>
  <c r="P237" i="1"/>
  <c r="U236" i="1"/>
  <c r="T236" i="1"/>
  <c r="J236" i="1"/>
  <c r="O236" i="1"/>
  <c r="N236" i="1" s="1"/>
  <c r="U235" i="1"/>
  <c r="T235" i="1"/>
  <c r="J235" i="1"/>
  <c r="O235" i="1"/>
  <c r="N235" i="1" s="1"/>
  <c r="U234" i="1"/>
  <c r="T234" i="1"/>
  <c r="J234" i="1"/>
  <c r="O234" i="1"/>
  <c r="N234" i="1" s="1"/>
  <c r="U233" i="1"/>
  <c r="T233" i="1"/>
  <c r="J233" i="1"/>
  <c r="O233" i="1"/>
  <c r="N233" i="1" s="1"/>
  <c r="N231" i="1"/>
  <c r="O228" i="1"/>
  <c r="J227" i="1"/>
  <c r="O227" i="1"/>
  <c r="N227" i="1" s="1"/>
  <c r="J226" i="1"/>
  <c r="R229" i="1"/>
  <c r="J225" i="1"/>
  <c r="O225" i="1"/>
  <c r="N225" i="1" s="1"/>
  <c r="J224" i="1"/>
  <c r="O224" i="1"/>
  <c r="N224" i="1" s="1"/>
  <c r="J223" i="1"/>
  <c r="O223" i="1"/>
  <c r="N223" i="1" s="1"/>
  <c r="T222" i="1"/>
  <c r="J222" i="1"/>
  <c r="O222" i="1"/>
  <c r="N222" i="1" s="1"/>
  <c r="N220" i="1"/>
  <c r="T220" i="1" s="1"/>
  <c r="U220" i="1" s="1"/>
  <c r="N219" i="1"/>
  <c r="U216" i="1"/>
  <c r="N216" i="1"/>
  <c r="T215" i="1"/>
  <c r="U215" i="1" s="1"/>
  <c r="N215" i="1"/>
  <c r="N213" i="1"/>
  <c r="N212" i="1"/>
  <c r="T212" i="1" s="1"/>
  <c r="U212" i="1" s="1"/>
  <c r="N211" i="1"/>
  <c r="P210" i="1"/>
  <c r="M209" i="1"/>
  <c r="I209" i="1"/>
  <c r="H209" i="1"/>
  <c r="F209" i="1"/>
  <c r="E209" i="1"/>
  <c r="R208" i="1"/>
  <c r="R209" i="1" s="1"/>
  <c r="J206" i="1"/>
  <c r="S205" i="1"/>
  <c r="Q205" i="1"/>
  <c r="I205" i="1"/>
  <c r="H205" i="1"/>
  <c r="E205" i="1"/>
  <c r="J204" i="1"/>
  <c r="O204" i="1"/>
  <c r="T203" i="1"/>
  <c r="R203" i="1"/>
  <c r="U202" i="1"/>
  <c r="T202" i="1"/>
  <c r="J202" i="1"/>
  <c r="O202" i="1"/>
  <c r="N202" i="1" s="1"/>
  <c r="J199" i="1"/>
  <c r="R199" i="1"/>
  <c r="J198" i="1"/>
  <c r="S197" i="1"/>
  <c r="Q197" i="1"/>
  <c r="E197" i="1"/>
  <c r="J196" i="1"/>
  <c r="O196" i="1"/>
  <c r="J195" i="1"/>
  <c r="U195" i="1" s="1"/>
  <c r="O195" i="1"/>
  <c r="N195" i="1" s="1"/>
  <c r="J194" i="1"/>
  <c r="U193" i="1"/>
  <c r="T193" i="1"/>
  <c r="J193" i="1"/>
  <c r="O193" i="1"/>
  <c r="N193" i="1" s="1"/>
  <c r="U192" i="1"/>
  <c r="T192" i="1"/>
  <c r="J192" i="1"/>
  <c r="O192" i="1"/>
  <c r="N192" i="1" s="1"/>
  <c r="U191" i="1"/>
  <c r="T191" i="1"/>
  <c r="J191" i="1"/>
  <c r="O191" i="1"/>
  <c r="N191" i="1" s="1"/>
  <c r="U190" i="1"/>
  <c r="T190" i="1"/>
  <c r="J190" i="1"/>
  <c r="O190" i="1"/>
  <c r="N190" i="1" s="1"/>
  <c r="J187" i="1"/>
  <c r="P197" i="1"/>
  <c r="J186" i="1"/>
  <c r="S185" i="1"/>
  <c r="Q185" i="1"/>
  <c r="J184" i="1"/>
  <c r="O184" i="1"/>
  <c r="J183" i="1"/>
  <c r="O183" i="1"/>
  <c r="N183" i="1" s="1"/>
  <c r="J182" i="1"/>
  <c r="I185" i="1"/>
  <c r="H185" i="1"/>
  <c r="F185" i="1"/>
  <c r="E185" i="1"/>
  <c r="U181" i="1"/>
  <c r="T181" i="1"/>
  <c r="J181" i="1"/>
  <c r="O181" i="1"/>
  <c r="N181" i="1" s="1"/>
  <c r="U180" i="1"/>
  <c r="T180" i="1"/>
  <c r="J180" i="1"/>
  <c r="O180" i="1"/>
  <c r="N180" i="1" s="1"/>
  <c r="U179" i="1"/>
  <c r="T179" i="1"/>
  <c r="J179" i="1"/>
  <c r="O179" i="1"/>
  <c r="N179" i="1" s="1"/>
  <c r="U178" i="1"/>
  <c r="T178" i="1"/>
  <c r="J178" i="1"/>
  <c r="O178" i="1"/>
  <c r="N178" i="1" s="1"/>
  <c r="U177" i="1"/>
  <c r="T177" i="1"/>
  <c r="J177" i="1"/>
  <c r="O177" i="1"/>
  <c r="N177" i="1" s="1"/>
  <c r="U176" i="1"/>
  <c r="T176" i="1"/>
  <c r="J176" i="1"/>
  <c r="O176" i="1"/>
  <c r="N176" i="1" s="1"/>
  <c r="U175" i="1"/>
  <c r="T175" i="1"/>
  <c r="J175" i="1"/>
  <c r="O175" i="1"/>
  <c r="N175" i="1" s="1"/>
  <c r="J173" i="1"/>
  <c r="U171" i="1"/>
  <c r="N171" i="1"/>
  <c r="T170" i="1"/>
  <c r="U170" i="1" s="1"/>
  <c r="N170" i="1"/>
  <c r="P168" i="1"/>
  <c r="N168" i="1" s="1"/>
  <c r="P167" i="1"/>
  <c r="N167" i="1" s="1"/>
  <c r="T166" i="1"/>
  <c r="U166" i="1" s="1"/>
  <c r="P166" i="1"/>
  <c r="N166" i="1" s="1"/>
  <c r="U165" i="1"/>
  <c r="P165" i="1"/>
  <c r="N165" i="1" s="1"/>
  <c r="P164" i="1"/>
  <c r="N164" i="1" s="1"/>
  <c r="R163" i="1"/>
  <c r="P163" i="1"/>
  <c r="M163" i="1"/>
  <c r="I163" i="1"/>
  <c r="H163" i="1"/>
  <c r="F163" i="1"/>
  <c r="E163" i="1"/>
  <c r="J161" i="1"/>
  <c r="S160" i="1"/>
  <c r="Q160" i="1"/>
  <c r="F160" i="1"/>
  <c r="E160" i="1"/>
  <c r="J159" i="1"/>
  <c r="O159" i="1"/>
  <c r="J158" i="1"/>
  <c r="U158" i="1" s="1"/>
  <c r="U157" i="1"/>
  <c r="T157" i="1"/>
  <c r="J157" i="1"/>
  <c r="O157" i="1"/>
  <c r="N157" i="1" s="1"/>
  <c r="J155" i="1"/>
  <c r="I160" i="1"/>
  <c r="H160" i="1"/>
  <c r="S154" i="1"/>
  <c r="Q154" i="1"/>
  <c r="J153" i="1"/>
  <c r="O153" i="1"/>
  <c r="J152" i="1"/>
  <c r="R152" i="1"/>
  <c r="U151" i="1"/>
  <c r="T151" i="1"/>
  <c r="J151" i="1"/>
  <c r="O151" i="1"/>
  <c r="N151" i="1" s="1"/>
  <c r="U150" i="1"/>
  <c r="T150" i="1"/>
  <c r="J150" i="1"/>
  <c r="O150" i="1"/>
  <c r="N150" i="1" s="1"/>
  <c r="U149" i="1"/>
  <c r="T149" i="1"/>
  <c r="J149" i="1"/>
  <c r="O149" i="1"/>
  <c r="N149" i="1" s="1"/>
  <c r="U148" i="1"/>
  <c r="T148" i="1"/>
  <c r="J148" i="1"/>
  <c r="O148" i="1"/>
  <c r="N148" i="1" s="1"/>
  <c r="U147" i="1"/>
  <c r="T147" i="1"/>
  <c r="J147" i="1"/>
  <c r="O147" i="1"/>
  <c r="N147" i="1" s="1"/>
  <c r="J144" i="1"/>
  <c r="S143" i="1"/>
  <c r="Q143" i="1"/>
  <c r="F143" i="1"/>
  <c r="E143" i="1"/>
  <c r="J142" i="1"/>
  <c r="J141" i="1"/>
  <c r="R141" i="1"/>
  <c r="U140" i="1"/>
  <c r="T140" i="1"/>
  <c r="J140" i="1"/>
  <c r="O140" i="1"/>
  <c r="N140" i="1" s="1"/>
  <c r="U139" i="1"/>
  <c r="T139" i="1"/>
  <c r="J139" i="1"/>
  <c r="O139" i="1"/>
  <c r="N139" i="1" s="1"/>
  <c r="U137" i="1"/>
  <c r="T137" i="1"/>
  <c r="J137" i="1"/>
  <c r="O137" i="1"/>
  <c r="N137" i="1" s="1"/>
  <c r="U136" i="1"/>
  <c r="T136" i="1"/>
  <c r="J136" i="1"/>
  <c r="O136" i="1"/>
  <c r="N136" i="1" s="1"/>
  <c r="U135" i="1"/>
  <c r="T135" i="1"/>
  <c r="J135" i="1"/>
  <c r="O135" i="1"/>
  <c r="N135" i="1" s="1"/>
  <c r="U134" i="1"/>
  <c r="T134" i="1"/>
  <c r="J134" i="1"/>
  <c r="O134" i="1"/>
  <c r="N134" i="1" s="1"/>
  <c r="U133" i="1"/>
  <c r="T133" i="1"/>
  <c r="O133" i="1"/>
  <c r="N133" i="1" s="1"/>
  <c r="J133" i="1"/>
  <c r="P143" i="1"/>
  <c r="J131" i="1"/>
  <c r="I143" i="1"/>
  <c r="H143" i="1"/>
  <c r="U129" i="1"/>
  <c r="N129" i="1"/>
  <c r="T128" i="1"/>
  <c r="U128" i="1" s="1"/>
  <c r="N128" i="1"/>
  <c r="N126" i="1"/>
  <c r="U125" i="1"/>
  <c r="N125" i="1"/>
  <c r="P123" i="1"/>
  <c r="N123" i="1" s="1"/>
  <c r="R122" i="1"/>
  <c r="P122" i="1"/>
  <c r="M122" i="1"/>
  <c r="I122" i="1"/>
  <c r="H122" i="1"/>
  <c r="F122" i="1"/>
  <c r="E122" i="1"/>
  <c r="J120" i="1"/>
  <c r="G122" i="1"/>
  <c r="S119" i="1"/>
  <c r="Q119" i="1"/>
  <c r="F119" i="1"/>
  <c r="E119" i="1"/>
  <c r="J118" i="1"/>
  <c r="O118" i="1"/>
  <c r="J117" i="1"/>
  <c r="U116" i="1"/>
  <c r="T116" i="1"/>
  <c r="J116" i="1"/>
  <c r="O116" i="1"/>
  <c r="N116" i="1" s="1"/>
  <c r="U115" i="1"/>
  <c r="T115" i="1"/>
  <c r="J115" i="1"/>
  <c r="O115" i="1"/>
  <c r="N115" i="1" s="1"/>
  <c r="U114" i="1"/>
  <c r="T114" i="1"/>
  <c r="J114" i="1"/>
  <c r="O114" i="1"/>
  <c r="N114" i="1" s="1"/>
  <c r="J112" i="1"/>
  <c r="I119" i="1"/>
  <c r="H119" i="1"/>
  <c r="R112" i="1"/>
  <c r="S111" i="1"/>
  <c r="Q111" i="1"/>
  <c r="J110" i="1"/>
  <c r="O110" i="1"/>
  <c r="J109" i="1"/>
  <c r="R109" i="1"/>
  <c r="U108" i="1"/>
  <c r="T108" i="1"/>
  <c r="J108" i="1"/>
  <c r="O108" i="1"/>
  <c r="N108" i="1" s="1"/>
  <c r="U107" i="1"/>
  <c r="T107" i="1"/>
  <c r="J107" i="1"/>
  <c r="O107" i="1"/>
  <c r="N107" i="1" s="1"/>
  <c r="U106" i="1"/>
  <c r="T106" i="1"/>
  <c r="J106" i="1"/>
  <c r="O106" i="1"/>
  <c r="N106" i="1" s="1"/>
  <c r="U105" i="1"/>
  <c r="T105" i="1"/>
  <c r="J105" i="1"/>
  <c r="O105" i="1"/>
  <c r="N105" i="1" s="1"/>
  <c r="J102" i="1"/>
  <c r="R102" i="1"/>
  <c r="S101" i="1"/>
  <c r="Q101" i="1"/>
  <c r="F101" i="1"/>
  <c r="E101" i="1"/>
  <c r="J100" i="1"/>
  <c r="O100" i="1"/>
  <c r="J99" i="1"/>
  <c r="R99" i="1"/>
  <c r="U98" i="1"/>
  <c r="T98" i="1"/>
  <c r="J98" i="1"/>
  <c r="O98" i="1"/>
  <c r="N98" i="1" s="1"/>
  <c r="U97" i="1"/>
  <c r="T97" i="1"/>
  <c r="J97" i="1"/>
  <c r="O97" i="1"/>
  <c r="N97" i="1" s="1"/>
  <c r="U96" i="1"/>
  <c r="T96" i="1"/>
  <c r="J96" i="1"/>
  <c r="O96" i="1"/>
  <c r="N96" i="1" s="1"/>
  <c r="U95" i="1"/>
  <c r="T95" i="1"/>
  <c r="J95" i="1"/>
  <c r="O95" i="1"/>
  <c r="N95" i="1" s="1"/>
  <c r="U94" i="1"/>
  <c r="T94" i="1"/>
  <c r="J94" i="1"/>
  <c r="O94" i="1"/>
  <c r="N94" i="1" s="1"/>
  <c r="U93" i="1"/>
  <c r="T93" i="1"/>
  <c r="J93" i="1"/>
  <c r="O93" i="1"/>
  <c r="N93" i="1" s="1"/>
  <c r="J91" i="1"/>
  <c r="I101" i="1"/>
  <c r="H101" i="1"/>
  <c r="R91" i="1"/>
  <c r="R101" i="1" s="1"/>
  <c r="U89" i="1"/>
  <c r="N89" i="1"/>
  <c r="T88" i="1"/>
  <c r="U88" i="1" s="1"/>
  <c r="N88" i="1"/>
  <c r="N86" i="1"/>
  <c r="U85" i="1"/>
  <c r="N85" i="1"/>
  <c r="T84" i="1"/>
  <c r="U84" i="1" s="1"/>
  <c r="N84" i="1"/>
  <c r="T83" i="1"/>
  <c r="U83" i="1" s="1"/>
  <c r="M82" i="1"/>
  <c r="I82" i="1"/>
  <c r="H82" i="1"/>
  <c r="F82" i="1"/>
  <c r="E82" i="1"/>
  <c r="J80" i="1"/>
  <c r="O80" i="1"/>
  <c r="S79" i="1"/>
  <c r="Q79" i="1"/>
  <c r="J78" i="1"/>
  <c r="O78" i="1"/>
  <c r="R77" i="1"/>
  <c r="U76" i="1"/>
  <c r="T76" i="1"/>
  <c r="J76" i="1"/>
  <c r="O76" i="1"/>
  <c r="N76" i="1" s="1"/>
  <c r="J74" i="1"/>
  <c r="I79" i="1"/>
  <c r="H79" i="1"/>
  <c r="R74" i="1"/>
  <c r="S73" i="1"/>
  <c r="Q73" i="1"/>
  <c r="J72" i="1"/>
  <c r="O72" i="1"/>
  <c r="J71" i="1"/>
  <c r="U70" i="1"/>
  <c r="T70" i="1"/>
  <c r="J70" i="1"/>
  <c r="O70" i="1"/>
  <c r="N70" i="1" s="1"/>
  <c r="U68" i="1"/>
  <c r="T68" i="1"/>
  <c r="J68" i="1"/>
  <c r="O68" i="1"/>
  <c r="N68" i="1" s="1"/>
  <c r="U67" i="1"/>
  <c r="T67" i="1"/>
  <c r="J67" i="1"/>
  <c r="O67" i="1"/>
  <c r="N67" i="1" s="1"/>
  <c r="U66" i="1"/>
  <c r="T66" i="1"/>
  <c r="J66" i="1"/>
  <c r="O66" i="1"/>
  <c r="N66" i="1" s="1"/>
  <c r="U65" i="1"/>
  <c r="T65" i="1"/>
  <c r="J65" i="1"/>
  <c r="O65" i="1"/>
  <c r="N65" i="1" s="1"/>
  <c r="J62" i="1"/>
  <c r="S61" i="1"/>
  <c r="Q61" i="1"/>
  <c r="H61" i="1"/>
  <c r="F61" i="1"/>
  <c r="F90" i="1" s="1"/>
  <c r="E61" i="1"/>
  <c r="E90" i="1" s="1"/>
  <c r="J60" i="1"/>
  <c r="P61" i="1"/>
  <c r="J59" i="1"/>
  <c r="G61" i="1"/>
  <c r="U58" i="1"/>
  <c r="T58" i="1"/>
  <c r="O58" i="1"/>
  <c r="N58" i="1" s="1"/>
  <c r="J58" i="1"/>
  <c r="U57" i="1"/>
  <c r="T57" i="1"/>
  <c r="J57" i="1"/>
  <c r="O57" i="1"/>
  <c r="N57" i="1" s="1"/>
  <c r="U56" i="1"/>
  <c r="T56" i="1"/>
  <c r="J56" i="1"/>
  <c r="O56" i="1"/>
  <c r="N56" i="1" s="1"/>
  <c r="U55" i="1"/>
  <c r="T55" i="1"/>
  <c r="J55" i="1"/>
  <c r="O55" i="1"/>
  <c r="N55" i="1" s="1"/>
  <c r="U54" i="1"/>
  <c r="T54" i="1"/>
  <c r="J54" i="1"/>
  <c r="O54" i="1"/>
  <c r="N54" i="1" s="1"/>
  <c r="U53" i="1"/>
  <c r="T53" i="1"/>
  <c r="J53" i="1"/>
  <c r="O53" i="1"/>
  <c r="N53" i="1" s="1"/>
  <c r="U52" i="1"/>
  <c r="T52" i="1"/>
  <c r="J52" i="1"/>
  <c r="O52" i="1"/>
  <c r="N52" i="1" s="1"/>
  <c r="U51" i="1"/>
  <c r="T51" i="1"/>
  <c r="J51" i="1"/>
  <c r="O51" i="1"/>
  <c r="N51" i="1" s="1"/>
  <c r="I61" i="1"/>
  <c r="U47" i="1"/>
  <c r="N47" i="1"/>
  <c r="T46" i="1"/>
  <c r="U46" i="1" s="1"/>
  <c r="N46" i="1"/>
  <c r="N44" i="1"/>
  <c r="T43" i="1"/>
  <c r="U43" i="1" s="1"/>
  <c r="P42" i="1"/>
  <c r="N42" i="1" s="1"/>
  <c r="N41" i="1"/>
  <c r="R40" i="1"/>
  <c r="P40" i="1"/>
  <c r="M40" i="1"/>
  <c r="I40" i="1"/>
  <c r="H40" i="1"/>
  <c r="F40" i="1"/>
  <c r="E40" i="1"/>
  <c r="J38" i="1"/>
  <c r="S37" i="1"/>
  <c r="Q37" i="1"/>
  <c r="O36" i="1"/>
  <c r="R35" i="1"/>
  <c r="U33" i="1"/>
  <c r="T33" i="1"/>
  <c r="J33" i="1"/>
  <c r="O33" i="1"/>
  <c r="N33" i="1" s="1"/>
  <c r="J31" i="1"/>
  <c r="S30" i="1"/>
  <c r="Q30" i="1"/>
  <c r="E30" i="1"/>
  <c r="J29" i="1"/>
  <c r="O29" i="1"/>
  <c r="J28" i="1"/>
  <c r="R28" i="1"/>
  <c r="U27" i="1"/>
  <c r="T27" i="1"/>
  <c r="J27" i="1"/>
  <c r="O27" i="1"/>
  <c r="N27" i="1" s="1"/>
  <c r="U26" i="1"/>
  <c r="T26" i="1"/>
  <c r="J26" i="1"/>
  <c r="O26" i="1"/>
  <c r="N26" i="1" s="1"/>
  <c r="U25" i="1"/>
  <c r="T25" i="1"/>
  <c r="J25" i="1"/>
  <c r="O25" i="1"/>
  <c r="N25" i="1" s="1"/>
  <c r="U24" i="1"/>
  <c r="T24" i="1"/>
  <c r="J24" i="1"/>
  <c r="O24" i="1"/>
  <c r="N24" i="1" s="1"/>
  <c r="J22" i="1"/>
  <c r="I30" i="1"/>
  <c r="S21" i="1"/>
  <c r="Q21" i="1"/>
  <c r="F21" i="1"/>
  <c r="F48" i="1" s="1"/>
  <c r="E21" i="1"/>
  <c r="O20" i="1"/>
  <c r="J19" i="1"/>
  <c r="O19" i="1"/>
  <c r="U18" i="1"/>
  <c r="T18" i="1"/>
  <c r="J18" i="1"/>
  <c r="O18" i="1"/>
  <c r="N18" i="1" s="1"/>
  <c r="U17" i="1"/>
  <c r="T17" i="1"/>
  <c r="J17" i="1"/>
  <c r="O17" i="1"/>
  <c r="N17" i="1" s="1"/>
  <c r="U16" i="1"/>
  <c r="T16" i="1"/>
  <c r="J16" i="1"/>
  <c r="O16" i="1"/>
  <c r="N16" i="1" s="1"/>
  <c r="U15" i="1"/>
  <c r="T15" i="1"/>
  <c r="J15" i="1"/>
  <c r="O15" i="1"/>
  <c r="N15" i="1" s="1"/>
  <c r="U14" i="1"/>
  <c r="T14" i="1"/>
  <c r="J14" i="1"/>
  <c r="O14" i="1"/>
  <c r="N14" i="1" s="1"/>
  <c r="U13" i="1"/>
  <c r="T13" i="1"/>
  <c r="J13" i="1"/>
  <c r="O13" i="1"/>
  <c r="N13" i="1" s="1"/>
  <c r="U12" i="1"/>
  <c r="T12" i="1"/>
  <c r="J12" i="1"/>
  <c r="O12" i="1"/>
  <c r="N12" i="1" s="1"/>
  <c r="U11" i="1"/>
  <c r="T11" i="1"/>
  <c r="J11" i="1"/>
  <c r="O11" i="1"/>
  <c r="N11" i="1" s="1"/>
  <c r="P21" i="1"/>
  <c r="J9" i="1"/>
  <c r="I21" i="1"/>
  <c r="H21" i="1"/>
  <c r="G21" i="1"/>
  <c r="AH16" i="2"/>
  <c r="AC15" i="2"/>
  <c r="AC14" i="2"/>
  <c r="AC12" i="2"/>
  <c r="AC11" i="2"/>
  <c r="T16" i="2"/>
  <c r="F16" i="2"/>
  <c r="AG11" i="2"/>
  <c r="AF11" i="2"/>
  <c r="N16" i="2"/>
  <c r="R111" i="1" l="1"/>
  <c r="P71" i="1"/>
  <c r="P73" i="1" s="1"/>
  <c r="P158" i="1"/>
  <c r="P160" i="1" s="1"/>
  <c r="R158" i="1"/>
  <c r="O158" i="1"/>
  <c r="R117" i="1"/>
  <c r="R119" i="1" s="1"/>
  <c r="P117" i="1"/>
  <c r="N256" i="1"/>
  <c r="T256" i="1"/>
  <c r="U256" i="1" s="1"/>
  <c r="T161" i="1"/>
  <c r="T163" i="1" s="1"/>
  <c r="U161" i="1"/>
  <c r="U163" i="1" s="1"/>
  <c r="R22" i="1"/>
  <c r="R30" i="1" s="1"/>
  <c r="G30" i="1"/>
  <c r="G48" i="1" s="1"/>
  <c r="O22" i="1"/>
  <c r="R9" i="1"/>
  <c r="O127" i="1"/>
  <c r="L12" i="2" s="1"/>
  <c r="W12" i="2" s="1"/>
  <c r="R79" i="1"/>
  <c r="R144" i="1"/>
  <c r="R154" i="1" s="1"/>
  <c r="O144" i="1"/>
  <c r="H90" i="1"/>
  <c r="F172" i="1"/>
  <c r="J228" i="1"/>
  <c r="N100" i="1"/>
  <c r="I130" i="1"/>
  <c r="Q217" i="1"/>
  <c r="N311" i="1"/>
  <c r="N327" i="1"/>
  <c r="M381" i="1"/>
  <c r="O381" i="1"/>
  <c r="L311" i="1"/>
  <c r="L327" i="1"/>
  <c r="L340" i="1"/>
  <c r="L353" i="1"/>
  <c r="N366" i="1"/>
  <c r="G40" i="1"/>
  <c r="O38" i="1"/>
  <c r="O39" i="1" s="1"/>
  <c r="N83" i="1"/>
  <c r="N204" i="1"/>
  <c r="U248" i="1"/>
  <c r="T248" i="1"/>
  <c r="U249" i="1"/>
  <c r="J36" i="1"/>
  <c r="O249" i="1"/>
  <c r="O248" i="1"/>
  <c r="T39" i="1"/>
  <c r="U39" i="1"/>
  <c r="N60" i="1"/>
  <c r="N110" i="1"/>
  <c r="T162" i="1"/>
  <c r="T206" i="1"/>
  <c r="U206" i="1"/>
  <c r="N340" i="1"/>
  <c r="N353" i="1"/>
  <c r="P366" i="1"/>
  <c r="J20" i="1"/>
  <c r="U45" i="1"/>
  <c r="G249" i="1"/>
  <c r="N20" i="1"/>
  <c r="E130" i="1"/>
  <c r="S130" i="1"/>
  <c r="G143" i="1"/>
  <c r="S172" i="1"/>
  <c r="U19" i="1"/>
  <c r="T19" i="1"/>
  <c r="N257" i="1"/>
  <c r="Q48" i="1"/>
  <c r="P30" i="1"/>
  <c r="N120" i="1"/>
  <c r="S48" i="1"/>
  <c r="N29" i="1"/>
  <c r="I48" i="1"/>
  <c r="N36" i="1"/>
  <c r="Q90" i="1"/>
  <c r="G79" i="1"/>
  <c r="P101" i="1"/>
  <c r="F130" i="1"/>
  <c r="Q130" i="1"/>
  <c r="N118" i="1"/>
  <c r="N153" i="1"/>
  <c r="T164" i="1"/>
  <c r="U164" i="1" s="1"/>
  <c r="I217" i="1"/>
  <c r="N314" i="1"/>
  <c r="N315" i="1" s="1"/>
  <c r="N319" i="1" s="1"/>
  <c r="N330" i="1"/>
  <c r="N331" i="1" s="1"/>
  <c r="N335" i="1" s="1"/>
  <c r="N343" i="1"/>
  <c r="N344" i="1" s="1"/>
  <c r="N347" i="1" s="1"/>
  <c r="N356" i="1"/>
  <c r="N357" i="1" s="1"/>
  <c r="N362" i="1" s="1"/>
  <c r="P369" i="1"/>
  <c r="P370" i="1" s="1"/>
  <c r="P377" i="1" s="1"/>
  <c r="O384" i="1"/>
  <c r="O385" i="1" s="1"/>
  <c r="O389" i="1" s="1"/>
  <c r="U183" i="1"/>
  <c r="T183" i="1"/>
  <c r="U16" i="2"/>
  <c r="P37" i="1"/>
  <c r="H130" i="1"/>
  <c r="P205" i="1"/>
  <c r="G209" i="1"/>
  <c r="O206" i="1"/>
  <c r="N206" i="1" s="1"/>
  <c r="AE16" i="2"/>
  <c r="H30" i="1"/>
  <c r="P111" i="1"/>
  <c r="N142" i="1"/>
  <c r="Q172" i="1"/>
  <c r="P229" i="1"/>
  <c r="N218" i="1"/>
  <c r="N245" i="1"/>
  <c r="J245" i="1"/>
  <c r="O237" i="1"/>
  <c r="N237" i="1" s="1"/>
  <c r="J237" i="1"/>
  <c r="I90" i="1"/>
  <c r="P79" i="1"/>
  <c r="G82" i="1"/>
  <c r="G163" i="1"/>
  <c r="O161" i="1"/>
  <c r="N161" i="1" s="1"/>
  <c r="N241" i="1"/>
  <c r="M314" i="1"/>
  <c r="M315" i="1" s="1"/>
  <c r="M320" i="1" s="1"/>
  <c r="M330" i="1"/>
  <c r="M331" i="1" s="1"/>
  <c r="M332" i="1" s="1"/>
  <c r="M343" i="1"/>
  <c r="M344" i="1" s="1"/>
  <c r="M347" i="1" s="1"/>
  <c r="M356" i="1"/>
  <c r="M357" i="1" s="1"/>
  <c r="M362" i="1" s="1"/>
  <c r="O369" i="1"/>
  <c r="O370" i="1" s="1"/>
  <c r="O377" i="1" s="1"/>
  <c r="N384" i="1"/>
  <c r="N385" i="1" s="1"/>
  <c r="N391" i="1" s="1"/>
  <c r="V16" i="2"/>
  <c r="O49" i="1"/>
  <c r="N49" i="1" s="1"/>
  <c r="J77" i="1"/>
  <c r="E172" i="1"/>
  <c r="S217" i="1"/>
  <c r="N196" i="1"/>
  <c r="P240" i="1"/>
  <c r="E48" i="1"/>
  <c r="S90" i="1"/>
  <c r="N72" i="1"/>
  <c r="N78" i="1"/>
  <c r="P119" i="1"/>
  <c r="G160" i="1"/>
  <c r="G172" i="1" s="1"/>
  <c r="N159" i="1"/>
  <c r="N184" i="1"/>
  <c r="O194" i="1"/>
  <c r="N194" i="1" s="1"/>
  <c r="T194" i="1" s="1"/>
  <c r="U194" i="1" s="1"/>
  <c r="O226" i="1"/>
  <c r="N228" i="1"/>
  <c r="R240" i="1"/>
  <c r="R258" i="1" s="1"/>
  <c r="R267" i="1" s="1"/>
  <c r="N239" i="1"/>
  <c r="L314" i="1"/>
  <c r="L315" i="1" s="1"/>
  <c r="L319" i="1" s="1"/>
  <c r="L330" i="1"/>
  <c r="L331" i="1" s="1"/>
  <c r="L335" i="1" s="1"/>
  <c r="L343" i="1"/>
  <c r="L344" i="1" s="1"/>
  <c r="L346" i="1" s="1"/>
  <c r="L356" i="1"/>
  <c r="L357" i="1" s="1"/>
  <c r="L362" i="1" s="1"/>
  <c r="N369" i="1"/>
  <c r="N370" i="1" s="1"/>
  <c r="N375" i="1" s="1"/>
  <c r="M384" i="1"/>
  <c r="M385" i="1" s="1"/>
  <c r="M390" i="1" s="1"/>
  <c r="I172" i="1"/>
  <c r="H217" i="1"/>
  <c r="E217" i="1"/>
  <c r="P154" i="1"/>
  <c r="AC16" i="2"/>
  <c r="T73" i="1"/>
  <c r="U62" i="1"/>
  <c r="U73" i="1" s="1"/>
  <c r="H172" i="1"/>
  <c r="O9" i="1"/>
  <c r="O28" i="1"/>
  <c r="N28" i="1" s="1"/>
  <c r="J49" i="1"/>
  <c r="O62" i="1"/>
  <c r="O74" i="1"/>
  <c r="O77" i="1"/>
  <c r="N77" i="1" s="1"/>
  <c r="O99" i="1"/>
  <c r="N99" i="1" s="1"/>
  <c r="G101" i="1"/>
  <c r="O109" i="1"/>
  <c r="N109" i="1" s="1"/>
  <c r="O117" i="1"/>
  <c r="G119" i="1"/>
  <c r="R131" i="1"/>
  <c r="R143" i="1" s="1"/>
  <c r="O141" i="1"/>
  <c r="N141" i="1" s="1"/>
  <c r="O152" i="1"/>
  <c r="N152" i="1" s="1"/>
  <c r="T158" i="1"/>
  <c r="R187" i="1"/>
  <c r="O187" i="1"/>
  <c r="N390" i="1"/>
  <c r="M389" i="1"/>
  <c r="R19" i="1"/>
  <c r="O31" i="1"/>
  <c r="R31" i="1"/>
  <c r="R37" i="1" s="1"/>
  <c r="O35" i="1"/>
  <c r="N35" i="1" s="1"/>
  <c r="O59" i="1"/>
  <c r="R59" i="1"/>
  <c r="R61" i="1" s="1"/>
  <c r="O71" i="1"/>
  <c r="R71" i="1"/>
  <c r="R73" i="1" s="1"/>
  <c r="O91" i="1"/>
  <c r="O102" i="1"/>
  <c r="O112" i="1"/>
  <c r="O155" i="1"/>
  <c r="R155" i="1"/>
  <c r="O173" i="1"/>
  <c r="R173" i="1"/>
  <c r="P185" i="1"/>
  <c r="O186" i="1"/>
  <c r="R186" i="1"/>
  <c r="T195" i="1"/>
  <c r="F217" i="1"/>
  <c r="O198" i="1"/>
  <c r="R198" i="1"/>
  <c r="R205" i="1" s="1"/>
  <c r="O203" i="1"/>
  <c r="N203" i="1" s="1"/>
  <c r="U203" i="1"/>
  <c r="N208" i="1"/>
  <c r="T208" i="1" s="1"/>
  <c r="U208" i="1" s="1"/>
  <c r="N210" i="1"/>
  <c r="N230" i="1"/>
  <c r="O243" i="1"/>
  <c r="N243" i="1" s="1"/>
  <c r="O244" i="1"/>
  <c r="N244" i="1" s="1"/>
  <c r="N247" i="1"/>
  <c r="O199" i="1"/>
  <c r="N199" i="1" s="1"/>
  <c r="O310" i="1"/>
  <c r="M311" i="1"/>
  <c r="O326" i="1"/>
  <c r="M327" i="1"/>
  <c r="O339" i="1"/>
  <c r="M340" i="1"/>
  <c r="O352" i="1"/>
  <c r="M353" i="1"/>
  <c r="Q365" i="1"/>
  <c r="O366" i="1"/>
  <c r="P380" i="1"/>
  <c r="N381" i="1"/>
  <c r="Y16" i="2" l="1"/>
  <c r="S16" i="2" s="1"/>
  <c r="M358" i="1"/>
  <c r="N158" i="1"/>
  <c r="L334" i="1"/>
  <c r="U162" i="1"/>
  <c r="N117" i="1"/>
  <c r="R160" i="1"/>
  <c r="P82" i="1"/>
  <c r="P90" i="1" s="1"/>
  <c r="J11" i="2" s="1"/>
  <c r="Q11" i="2" s="1"/>
  <c r="R82" i="1"/>
  <c r="R90" i="1" s="1"/>
  <c r="R21" i="1"/>
  <c r="R48" i="1" s="1"/>
  <c r="N359" i="1"/>
  <c r="G130" i="1"/>
  <c r="N361" i="1"/>
  <c r="N336" i="1"/>
  <c r="P375" i="1"/>
  <c r="M334" i="1"/>
  <c r="O374" i="1"/>
  <c r="L349" i="1"/>
  <c r="N318" i="1"/>
  <c r="N372" i="1"/>
  <c r="M317" i="1"/>
  <c r="R130" i="1"/>
  <c r="K12" i="2" s="1"/>
  <c r="M387" i="1"/>
  <c r="M391" i="1"/>
  <c r="P372" i="1"/>
  <c r="O371" i="1"/>
  <c r="L332" i="1"/>
  <c r="L336" i="1"/>
  <c r="N316" i="1"/>
  <c r="N321" i="1"/>
  <c r="M321" i="1"/>
  <c r="P130" i="1"/>
  <c r="J12" i="2" s="1"/>
  <c r="AF12" i="2" s="1"/>
  <c r="O390" i="1"/>
  <c r="P390" i="1" s="1"/>
  <c r="N388" i="1"/>
  <c r="N386" i="1"/>
  <c r="N358" i="1"/>
  <c r="N360" i="1"/>
  <c r="L347" i="1"/>
  <c r="O347" i="1" s="1"/>
  <c r="N332" i="1"/>
  <c r="M336" i="1"/>
  <c r="L345" i="1"/>
  <c r="L348" i="1"/>
  <c r="M386" i="1"/>
  <c r="M388" i="1"/>
  <c r="N387" i="1"/>
  <c r="N389" i="1"/>
  <c r="P389" i="1" s="1"/>
  <c r="P371" i="1"/>
  <c r="P374" i="1"/>
  <c r="P376" i="1"/>
  <c r="N348" i="1"/>
  <c r="L333" i="1"/>
  <c r="M333" i="1"/>
  <c r="M335" i="1"/>
  <c r="O335" i="1" s="1"/>
  <c r="N317" i="1"/>
  <c r="N320" i="1"/>
  <c r="K13" i="2"/>
  <c r="AJ13" i="2" s="1"/>
  <c r="G90" i="1"/>
  <c r="P217" i="1"/>
  <c r="J15" i="2" s="1"/>
  <c r="Q15" i="2" s="1"/>
  <c r="P172" i="1"/>
  <c r="J14" i="2" s="1"/>
  <c r="AF14" i="2" s="1"/>
  <c r="O375" i="1"/>
  <c r="M316" i="1"/>
  <c r="N376" i="1"/>
  <c r="N345" i="1"/>
  <c r="N349" i="1"/>
  <c r="M318" i="1"/>
  <c r="N226" i="1"/>
  <c r="O372" i="1"/>
  <c r="O376" i="1"/>
  <c r="L359" i="1"/>
  <c r="N346" i="1"/>
  <c r="L316" i="1"/>
  <c r="M319" i="1"/>
  <c r="O319" i="1" s="1"/>
  <c r="Q259" i="1"/>
  <c r="O386" i="1"/>
  <c r="P373" i="1"/>
  <c r="O373" i="1"/>
  <c r="M359" i="1"/>
  <c r="M348" i="1"/>
  <c r="L320" i="1"/>
  <c r="O320" i="1" s="1"/>
  <c r="O82" i="1"/>
  <c r="O81" i="1"/>
  <c r="O45" i="1"/>
  <c r="O387" i="1"/>
  <c r="O391" i="1"/>
  <c r="L360" i="1"/>
  <c r="M360" i="1"/>
  <c r="N333" i="1"/>
  <c r="U246" i="1"/>
  <c r="O87" i="1"/>
  <c r="L11" i="2" s="1"/>
  <c r="W11" i="2" s="1"/>
  <c r="T246" i="1"/>
  <c r="O209" i="1"/>
  <c r="O207" i="1"/>
  <c r="O122" i="1"/>
  <c r="O121" i="1"/>
  <c r="U209" i="1"/>
  <c r="U207" i="1"/>
  <c r="N249" i="1"/>
  <c r="E13" i="2" s="1"/>
  <c r="I13" i="2" s="1"/>
  <c r="P13" i="2" s="1"/>
  <c r="N248" i="1"/>
  <c r="K248" i="1" s="1"/>
  <c r="J248" i="1" s="1"/>
  <c r="T249" i="1"/>
  <c r="O388" i="1"/>
  <c r="L361" i="1"/>
  <c r="M361" i="1"/>
  <c r="N334" i="1"/>
  <c r="N163" i="1"/>
  <c r="E14" i="2" s="1"/>
  <c r="I14" i="2" s="1"/>
  <c r="P14" i="2" s="1"/>
  <c r="N162" i="1"/>
  <c r="K162" i="1" s="1"/>
  <c r="J162" i="1" s="1"/>
  <c r="N122" i="1"/>
  <c r="E12" i="2" s="1"/>
  <c r="I12" i="2" s="1"/>
  <c r="P12" i="2" s="1"/>
  <c r="N121" i="1"/>
  <c r="K121" i="1" s="1"/>
  <c r="J121" i="1" s="1"/>
  <c r="N38" i="1"/>
  <c r="N40" i="1" s="1"/>
  <c r="E10" i="2" s="1"/>
  <c r="O163" i="1"/>
  <c r="O162" i="1"/>
  <c r="O254" i="1"/>
  <c r="L13" i="2" s="1"/>
  <c r="W13" i="2" s="1"/>
  <c r="T209" i="1"/>
  <c r="T207" i="1"/>
  <c r="U121" i="1"/>
  <c r="U122" i="1"/>
  <c r="U82" i="1"/>
  <c r="U81" i="1"/>
  <c r="N246" i="1"/>
  <c r="D13" i="2" s="1"/>
  <c r="L358" i="1"/>
  <c r="O358" i="1" s="1"/>
  <c r="O40" i="1"/>
  <c r="T122" i="1"/>
  <c r="T121" i="1"/>
  <c r="T81" i="1"/>
  <c r="T82" i="1"/>
  <c r="P258" i="1"/>
  <c r="J13" i="2" s="1"/>
  <c r="P48" i="1"/>
  <c r="J10" i="2" s="1"/>
  <c r="N209" i="1"/>
  <c r="E15" i="2" s="1"/>
  <c r="N207" i="1"/>
  <c r="K207" i="1" s="1"/>
  <c r="J207" i="1" s="1"/>
  <c r="N59" i="1"/>
  <c r="N61" i="1" s="1"/>
  <c r="B11" i="2" s="1"/>
  <c r="H48" i="1"/>
  <c r="S259" i="1"/>
  <c r="N71" i="1"/>
  <c r="N19" i="1"/>
  <c r="N373" i="1"/>
  <c r="N377" i="1"/>
  <c r="Q377" i="1" s="1"/>
  <c r="M349" i="1"/>
  <c r="L317" i="1"/>
  <c r="L321" i="1"/>
  <c r="N80" i="1"/>
  <c r="O240" i="1"/>
  <c r="N240" i="1" s="1"/>
  <c r="C13" i="2" s="1"/>
  <c r="N374" i="1"/>
  <c r="M346" i="1"/>
  <c r="M345" i="1"/>
  <c r="L318" i="1"/>
  <c r="O229" i="1"/>
  <c r="N371" i="1"/>
  <c r="O214" i="1"/>
  <c r="L15" i="2" s="1"/>
  <c r="W15" i="2" s="1"/>
  <c r="O169" i="1"/>
  <c r="L14" i="2" s="1"/>
  <c r="W14" i="2" s="1"/>
  <c r="R197" i="1"/>
  <c r="T240" i="1"/>
  <c r="U240" i="1" s="1"/>
  <c r="N198" i="1"/>
  <c r="O205" i="1"/>
  <c r="O160" i="1"/>
  <c r="N155" i="1"/>
  <c r="O119" i="1"/>
  <c r="N112" i="1"/>
  <c r="O101" i="1"/>
  <c r="N91" i="1"/>
  <c r="N173" i="1"/>
  <c r="O154" i="1"/>
  <c r="N144" i="1"/>
  <c r="O111" i="1"/>
  <c r="N102" i="1"/>
  <c r="O37" i="1"/>
  <c r="N31" i="1"/>
  <c r="O79" i="1"/>
  <c r="N74" i="1"/>
  <c r="O21" i="1"/>
  <c r="N9" i="1"/>
  <c r="O362" i="1"/>
  <c r="O332" i="1"/>
  <c r="N187" i="1"/>
  <c r="R172" i="1"/>
  <c r="T30" i="1"/>
  <c r="R182" i="1"/>
  <c r="R185" i="1" s="1"/>
  <c r="O182" i="1"/>
  <c r="O185" i="1" s="1"/>
  <c r="O197" i="1"/>
  <c r="N186" i="1"/>
  <c r="O30" i="1"/>
  <c r="N22" i="1"/>
  <c r="N30" i="1" s="1"/>
  <c r="C10" i="2" s="1"/>
  <c r="N131" i="1"/>
  <c r="O143" i="1"/>
  <c r="O73" i="1"/>
  <c r="N62" i="1"/>
  <c r="U40" i="1"/>
  <c r="T40" i="1"/>
  <c r="O246" i="1"/>
  <c r="O61" i="1"/>
  <c r="U30" i="1"/>
  <c r="Q374" i="1" l="1"/>
  <c r="O334" i="1"/>
  <c r="R12" i="2"/>
  <c r="AJ12" i="2"/>
  <c r="O316" i="1"/>
  <c r="P388" i="1"/>
  <c r="O90" i="1"/>
  <c r="N90" i="1" s="1"/>
  <c r="L10" i="2"/>
  <c r="W10" i="2" s="1"/>
  <c r="O48" i="1"/>
  <c r="N48" i="1" s="1"/>
  <c r="AO13" i="2"/>
  <c r="N87" i="1"/>
  <c r="Y11" i="2"/>
  <c r="Q375" i="1"/>
  <c r="O318" i="1"/>
  <c r="O336" i="1"/>
  <c r="Q372" i="1"/>
  <c r="Q371" i="1"/>
  <c r="O321" i="1"/>
  <c r="O349" i="1"/>
  <c r="Q373" i="1"/>
  <c r="P391" i="1"/>
  <c r="O360" i="1"/>
  <c r="Q376" i="1"/>
  <c r="O317" i="1"/>
  <c r="O348" i="1"/>
  <c r="O346" i="1"/>
  <c r="O333" i="1"/>
  <c r="P387" i="1"/>
  <c r="P386" i="1"/>
  <c r="N169" i="1"/>
  <c r="N127" i="1"/>
  <c r="N214" i="1"/>
  <c r="N45" i="1"/>
  <c r="AG12" i="2"/>
  <c r="T229" i="1"/>
  <c r="T258" i="1" s="1"/>
  <c r="O361" i="1"/>
  <c r="O359" i="1"/>
  <c r="AF15" i="2"/>
  <c r="Q14" i="2"/>
  <c r="U229" i="1"/>
  <c r="U258" i="1" s="1"/>
  <c r="O345" i="1"/>
  <c r="I10" i="2"/>
  <c r="P10" i="2"/>
  <c r="N39" i="1"/>
  <c r="N82" i="1"/>
  <c r="E11" i="2" s="1"/>
  <c r="I11" i="2" s="1"/>
  <c r="P11" i="2" s="1"/>
  <c r="N81" i="1"/>
  <c r="K81" i="1" s="1"/>
  <c r="J81" i="1" s="1"/>
  <c r="N229" i="1"/>
  <c r="O258" i="1"/>
  <c r="H13" i="2" s="1"/>
  <c r="O217" i="1"/>
  <c r="O172" i="1"/>
  <c r="N73" i="1"/>
  <c r="C11" i="2" s="1"/>
  <c r="Q10" i="2"/>
  <c r="P259" i="1"/>
  <c r="Q12" i="2"/>
  <c r="I15" i="2"/>
  <c r="P15" i="2" s="1"/>
  <c r="O267" i="1"/>
  <c r="R217" i="1"/>
  <c r="R259" i="1" s="1"/>
  <c r="N143" i="1"/>
  <c r="K14" i="2"/>
  <c r="AJ14" i="2" s="1"/>
  <c r="Z208" i="1"/>
  <c r="N197" i="1"/>
  <c r="C15" i="2" s="1"/>
  <c r="U61" i="1"/>
  <c r="T61" i="1"/>
  <c r="N21" i="1"/>
  <c r="B10" i="2" s="1"/>
  <c r="N79" i="1"/>
  <c r="D11" i="2" s="1"/>
  <c r="AF13" i="2"/>
  <c r="Q13" i="2"/>
  <c r="J16" i="2"/>
  <c r="Q16" i="2" s="1"/>
  <c r="N37" i="1"/>
  <c r="D10" i="2" s="1"/>
  <c r="N111" i="1"/>
  <c r="C12" i="2" s="1"/>
  <c r="N154" i="1"/>
  <c r="C14" i="2" s="1"/>
  <c r="N101" i="1"/>
  <c r="B12" i="2" s="1"/>
  <c r="N119" i="1"/>
  <c r="D12" i="2" s="1"/>
  <c r="N160" i="1"/>
  <c r="D14" i="2" s="1"/>
  <c r="K11" i="2"/>
  <c r="K10" i="2"/>
  <c r="AJ10" i="2" s="1"/>
  <c r="O130" i="1"/>
  <c r="N182" i="1"/>
  <c r="N205" i="1"/>
  <c r="AO11" i="2" l="1"/>
  <c r="AB11" i="2"/>
  <c r="Z11" i="2"/>
  <c r="AA11" i="2"/>
  <c r="R11" i="2"/>
  <c r="AJ11" i="2"/>
  <c r="Y10" i="2"/>
  <c r="K39" i="1"/>
  <c r="J39" i="1" s="1"/>
  <c r="H10" i="2"/>
  <c r="Y12" i="2"/>
  <c r="Y15" i="2"/>
  <c r="Y14" i="2"/>
  <c r="L16" i="2"/>
  <c r="B13" i="2"/>
  <c r="G13" i="2" s="1"/>
  <c r="S13" i="2" s="1"/>
  <c r="N258" i="1"/>
  <c r="H11" i="2"/>
  <c r="O11" i="2" s="1"/>
  <c r="E16" i="2"/>
  <c r="I16" i="2"/>
  <c r="P16" i="2" s="1"/>
  <c r="AA208" i="1"/>
  <c r="AA209" i="1" s="1"/>
  <c r="N185" i="1"/>
  <c r="B15" i="2" s="1"/>
  <c r="C16" i="2"/>
  <c r="D15" i="2"/>
  <c r="D16" i="2" s="1"/>
  <c r="N130" i="1"/>
  <c r="H12" i="2"/>
  <c r="U160" i="1"/>
  <c r="T160" i="1"/>
  <c r="T119" i="1"/>
  <c r="U112" i="1"/>
  <c r="U119" i="1" s="1"/>
  <c r="T154" i="1"/>
  <c r="U154" i="1"/>
  <c r="T111" i="1"/>
  <c r="U111" i="1"/>
  <c r="U37" i="1"/>
  <c r="T37" i="1"/>
  <c r="T79" i="1"/>
  <c r="T90" i="1" s="1"/>
  <c r="U79" i="1"/>
  <c r="U90" i="1" s="1"/>
  <c r="T205" i="1"/>
  <c r="U205" i="1"/>
  <c r="N172" i="1"/>
  <c r="H14" i="2"/>
  <c r="N217" i="1"/>
  <c r="H15" i="2"/>
  <c r="R10" i="2"/>
  <c r="R13" i="2"/>
  <c r="AG13" i="2"/>
  <c r="T185" i="1"/>
  <c r="U185" i="1"/>
  <c r="G10" i="2"/>
  <c r="T197" i="1"/>
  <c r="U197" i="1"/>
  <c r="M13" i="2"/>
  <c r="O13" i="2"/>
  <c r="B14" i="2"/>
  <c r="K15" i="2"/>
  <c r="AJ15" i="2" s="1"/>
  <c r="O259" i="1"/>
  <c r="G11" i="2"/>
  <c r="S11" i="2" s="1"/>
  <c r="T101" i="1"/>
  <c r="U101" i="1"/>
  <c r="T21" i="1"/>
  <c r="U21" i="1"/>
  <c r="AG14" i="2"/>
  <c r="R14" i="2"/>
  <c r="T143" i="1"/>
  <c r="U143" i="1"/>
  <c r="AO15" i="2" l="1"/>
  <c r="S15" i="2"/>
  <c r="AB15" i="2"/>
  <c r="AA15" i="2"/>
  <c r="AO14" i="2"/>
  <c r="AO16" i="2" s="1"/>
  <c r="AB14" i="2"/>
  <c r="Z14" i="2"/>
  <c r="AA14" i="2"/>
  <c r="AO12" i="2"/>
  <c r="AA12" i="2"/>
  <c r="AB12" i="2"/>
  <c r="AO10" i="2"/>
  <c r="Z10" i="2"/>
  <c r="Z16" i="2" s="1"/>
  <c r="AB10" i="2"/>
  <c r="AA10" i="2"/>
  <c r="S10" i="2"/>
  <c r="AF10" i="2"/>
  <c r="AF16" i="2" s="1"/>
  <c r="AJ16" i="2"/>
  <c r="T172" i="1"/>
  <c r="U172" i="1"/>
  <c r="W16" i="2"/>
  <c r="T48" i="1"/>
  <c r="S12" i="2"/>
  <c r="U130" i="1"/>
  <c r="T130" i="1"/>
  <c r="N259" i="1"/>
  <c r="M11" i="2"/>
  <c r="T217" i="1"/>
  <c r="U217" i="1"/>
  <c r="U48" i="1"/>
  <c r="G15" i="2"/>
  <c r="M10" i="2"/>
  <c r="O10" i="2"/>
  <c r="H16" i="2"/>
  <c r="R15" i="2"/>
  <c r="AG15" i="2"/>
  <c r="G14" i="2"/>
  <c r="S14" i="2" s="1"/>
  <c r="B16" i="2"/>
  <c r="K16" i="2"/>
  <c r="O15" i="2"/>
  <c r="M15" i="2"/>
  <c r="O14" i="2"/>
  <c r="M14" i="2"/>
  <c r="M12" i="2"/>
  <c r="O12" i="2"/>
  <c r="R16" i="2" l="1"/>
  <c r="AG10" i="2"/>
  <c r="AG16" i="2" s="1"/>
  <c r="U259" i="1"/>
  <c r="T259" i="1"/>
  <c r="AD11" i="2"/>
  <c r="G16" i="2"/>
  <c r="M16" i="2"/>
  <c r="O16" i="2"/>
  <c r="AA16" i="2" l="1"/>
  <c r="AB16" i="2"/>
  <c r="AD10" i="2"/>
  <c r="AD15" i="2"/>
  <c r="AD14" i="2"/>
  <c r="AD12" i="2"/>
  <c r="AD16" i="2" l="1"/>
  <c r="X72" i="5" l="1"/>
  <c r="AB71" i="5"/>
  <c r="U200" i="5"/>
  <c r="V86" i="5"/>
  <c r="V70" i="5" s="1"/>
  <c r="V200" i="5" s="1"/>
  <c r="T86" i="5" l="1"/>
  <c r="C15" i="4" l="1"/>
  <c r="C21" i="4" s="1"/>
  <c r="T70" i="5"/>
  <c r="T200" i="5" s="1"/>
  <c r="B21" i="4" l="1"/>
  <c r="F15" i="4"/>
  <c r="F21" i="4" s="1"/>
  <c r="AH15" i="4"/>
  <c r="J17" i="7"/>
  <c r="I17" i="7" l="1"/>
  <c r="J24" i="7"/>
  <c r="C15" i="8"/>
  <c r="C19" i="8" l="1"/>
  <c r="C22" i="8" s="1"/>
  <c r="D15" i="8"/>
  <c r="D19" i="8" s="1"/>
  <c r="D22" i="8" s="1"/>
</calcChain>
</file>

<file path=xl/sharedStrings.xml><?xml version="1.0" encoding="utf-8"?>
<sst xmlns="http://schemas.openxmlformats.org/spreadsheetml/2006/main" count="2595" uniqueCount="660">
  <si>
    <t>Приложение № 3</t>
  </si>
  <si>
    <t>2. Общеобразовательные учреждения</t>
  </si>
  <si>
    <t>Наименование учреждения</t>
  </si>
  <si>
    <t>Наименование услуги и уникальный номер реестровой записи</t>
  </si>
  <si>
    <t>Форма организации обучения детей</t>
  </si>
  <si>
    <t>Ед. изм. объема услуги</t>
  </si>
  <si>
    <t>Значение объема муниципальной услуги (работы)</t>
  </si>
  <si>
    <t>Базовый норматив затрат на единицу объема</t>
  </si>
  <si>
    <t>Нормативные затраты на оказание муниципальной услуги (работы)</t>
  </si>
  <si>
    <t>Всего:</t>
  </si>
  <si>
    <t>краевой норматив на общеобразовательные программы</t>
  </si>
  <si>
    <t>краевой норматив на административно-управленч. и учебно-вспомогат.персонал</t>
  </si>
  <si>
    <t>норматив финансирования из местного бюджета, МРОТ</t>
  </si>
  <si>
    <t>в т.ч на  общеобразовательные программы</t>
  </si>
  <si>
    <t>на содержание административно-управленч. и учебно-вспомогат.персонал</t>
  </si>
  <si>
    <t>МРОТ краевой</t>
  </si>
  <si>
    <t>за счет финансирования из местного бюджета</t>
  </si>
  <si>
    <t>МРОТ местный</t>
  </si>
  <si>
    <t>в соответствии с реестром</t>
  </si>
  <si>
    <t>по ОКЕИ</t>
  </si>
  <si>
    <t>в натуральных показателях</t>
  </si>
  <si>
    <t>в рублях</t>
  </si>
  <si>
    <t>МБОУ Школа №2 им.Ю.А.Гагарина</t>
  </si>
  <si>
    <t>Обучение детей  в образовательных организациях, реализующих программы общего образования (k = 1)</t>
  </si>
  <si>
    <t>человек</t>
  </si>
  <si>
    <t>Инклюзивное обучение детей c ограниченными возможностями здоровья в общеобразовательных классах образовательных организаций (k = 9) в т.ч.:</t>
  </si>
  <si>
    <t>х</t>
  </si>
  <si>
    <t>t=4</t>
  </si>
  <si>
    <t>t=5</t>
  </si>
  <si>
    <t>t=6</t>
  </si>
  <si>
    <t>t=7</t>
  </si>
  <si>
    <t>t=8</t>
  </si>
  <si>
    <t>t=9</t>
  </si>
  <si>
    <t>t=10</t>
  </si>
  <si>
    <t>t=12</t>
  </si>
  <si>
    <t>Индивидуальное обучение детей при наличии соответствующего медицинского заключения и детей-инвалидов на дому (k = 10) город</t>
  </si>
  <si>
    <t>Доплата за классное рук</t>
  </si>
  <si>
    <t>кл/комп</t>
  </si>
  <si>
    <t>итого по услуге:</t>
  </si>
  <si>
    <t>Инклюзивное обучение детей c ограниченными возможностями здоровья в общеобразовательных классах образовательных организаций (k = 9)</t>
  </si>
  <si>
    <t>Заочное обучение детей в образовательных организациях, реализующие основные общеобразовательные программы (k =13)</t>
  </si>
  <si>
    <t>Дополнительное образование детей в образовательных организациях, реализующих основные общеобразовательные программы (город)</t>
  </si>
  <si>
    <t xml:space="preserve"> </t>
  </si>
  <si>
    <t>На увелич.оплаты труда отдел.катег.раб.</t>
  </si>
  <si>
    <t>краевой бюджет</t>
  </si>
  <si>
    <t>Обеспечение групп продленного дня</t>
  </si>
  <si>
    <t>кол.</t>
  </si>
  <si>
    <t>Доплата за кл.руководство</t>
  </si>
  <si>
    <t>молодой специалист</t>
  </si>
  <si>
    <t>Повышение 10% АУП</t>
  </si>
  <si>
    <t>Всего по учреждению:</t>
  </si>
  <si>
    <t>МБОУ СОШ №4</t>
  </si>
  <si>
    <t>t=11</t>
  </si>
  <si>
    <t xml:space="preserve">Доплата до МРОТ </t>
  </si>
  <si>
    <t>местный бюджет</t>
  </si>
  <si>
    <t>Доплата до МРОТ(разница)</t>
  </si>
  <si>
    <t>МБОУ СОШ №5</t>
  </si>
  <si>
    <t>t=2</t>
  </si>
  <si>
    <t>Доплата за классное рук.</t>
  </si>
  <si>
    <t>кл./комп</t>
  </si>
  <si>
    <t>МБОУ СОШ № 9</t>
  </si>
  <si>
    <t>МАОУ гимназия №10</t>
  </si>
  <si>
    <t>Обучение детей, находящихся на длительном лечении в медицинских учреждениях (индивидуальное, групповое) (k = 11)</t>
  </si>
  <si>
    <t>Обучение детей  в образовательных организациях, реализующих программы общего образования (k = 1) с углубленным изучением предметов</t>
  </si>
  <si>
    <t>Дополнительное образование детей в образовательных организациях, реализующих основные общеобразовательные программы (город) в т.ч.:</t>
  </si>
  <si>
    <t>Дополнительное образование детей в образовательных организациях, реализующих основные общеобразовательные программы (дети, посещающие бассейн)</t>
  </si>
  <si>
    <t>Ведение бух.учета</t>
  </si>
  <si>
    <t>Доп.на ведение бух.учета</t>
  </si>
  <si>
    <t>МБОУ СОШ № 7</t>
  </si>
  <si>
    <t xml:space="preserve">Обучение детей  в малокомплектных образовательных организациях, расположенных в городских населенных пунктах, и в классах с наполняемостью 20 и более человек, созданных в малокомплектных образовательных организациях, расположенных в сельских населенных </t>
  </si>
  <si>
    <t>класс/человек</t>
  </si>
  <si>
    <t>Обучение детей в классах с наполняемостью менее 20 человек, созданных в малокомплектных образовательных организациях, расположенных в сельских населенных пунктах (за исключением детей с ограниченными возможностями здоровья, обучающихся в отдельных классах) (k = 5)</t>
  </si>
  <si>
    <t>Х</t>
  </si>
  <si>
    <t>Индивидуальное обучение детей при наличии соответствующего медицинского заключения и детей-инвалидов на дому (k = 10) село</t>
  </si>
  <si>
    <t>Обучение детей, находящихся на длительном лечении в медицинских учреждениях (индивидуальное, групповое) (k = 11) село</t>
  </si>
  <si>
    <t>Дополнительное образование детей в образовательных организациях, реализующих основные общеобразовательные программы (село)</t>
  </si>
  <si>
    <t>ВСЕГО:</t>
  </si>
  <si>
    <t>Гайлит Светлана Геннадьевна (39144)3-79-43</t>
  </si>
  <si>
    <t>Мисько Галина Владимировна (39144)3-16-33</t>
  </si>
  <si>
    <t>АУП</t>
  </si>
  <si>
    <t>пед.</t>
  </si>
  <si>
    <t>местн</t>
  </si>
  <si>
    <t>МБОУ №2</t>
  </si>
  <si>
    <t>МБОУ №4</t>
  </si>
  <si>
    <t>МБОУ №5</t>
  </si>
  <si>
    <t>МБОУ №9</t>
  </si>
  <si>
    <t>МАОУ №10</t>
  </si>
  <si>
    <t>МБОУ №7</t>
  </si>
  <si>
    <t>Приложение № 4 к приказу</t>
  </si>
  <si>
    <t>1.  Общеобразовательные учреждения</t>
  </si>
  <si>
    <t>Всего  нормативных затрат на оказание услуг (работ) по учреждению</t>
  </si>
  <si>
    <t>в том числе по источникам финансирования:</t>
  </si>
  <si>
    <t>Объем муниципального задания 2023 год</t>
  </si>
  <si>
    <r>
      <t xml:space="preserve">Реализация основных общеобразовательных программ </t>
    </r>
    <r>
      <rPr>
        <b/>
        <sz val="10"/>
        <color indexed="8"/>
        <rFont val="Times New Roman"/>
        <family val="1"/>
        <charset val="204"/>
      </rPr>
      <t>начального</t>
    </r>
    <r>
      <rPr>
        <sz val="10"/>
        <color indexed="8"/>
        <rFont val="Times New Roman"/>
        <family val="1"/>
        <charset val="204"/>
      </rPr>
      <t xml:space="preserve"> общего образования</t>
    </r>
  </si>
  <si>
    <r>
      <t xml:space="preserve">Реализация основных общеобразовательных программ </t>
    </r>
    <r>
      <rPr>
        <b/>
        <sz val="10"/>
        <color indexed="8"/>
        <rFont val="Times New Roman"/>
        <family val="1"/>
        <charset val="204"/>
      </rPr>
      <t>основного</t>
    </r>
    <r>
      <rPr>
        <sz val="10"/>
        <color indexed="8"/>
        <rFont val="Times New Roman"/>
        <family val="1"/>
        <charset val="204"/>
      </rPr>
      <t xml:space="preserve"> общего образования</t>
    </r>
  </si>
  <si>
    <r>
      <t xml:space="preserve">Реализация основных общеобразовательных программ </t>
    </r>
    <r>
      <rPr>
        <b/>
        <sz val="10"/>
        <color indexed="8"/>
        <rFont val="Times New Roman"/>
        <family val="1"/>
        <charset val="204"/>
      </rPr>
      <t>среднего</t>
    </r>
    <r>
      <rPr>
        <sz val="10"/>
        <color indexed="8"/>
        <rFont val="Times New Roman"/>
        <family val="1"/>
        <charset val="204"/>
      </rPr>
      <t xml:space="preserve"> общего образования</t>
    </r>
  </si>
  <si>
    <r>
      <t xml:space="preserve">Реализация </t>
    </r>
    <r>
      <rPr>
        <b/>
        <sz val="10"/>
        <rFont val="Times New Roman"/>
        <family val="1"/>
        <charset val="204"/>
      </rPr>
      <t>дополнительных</t>
    </r>
    <r>
      <rPr>
        <sz val="10"/>
        <rFont val="Times New Roman"/>
        <family val="1"/>
        <charset val="204"/>
      </rPr>
      <t xml:space="preserve"> общеобразовательных общеразвивающих программ</t>
    </r>
  </si>
  <si>
    <t>Доплата за классное руководство</t>
  </si>
  <si>
    <t>краевые субвенции на  общеобразоват-е программы</t>
  </si>
  <si>
    <t>краевые субвенции на  реализацию дополнительных общеобразоват-х программ</t>
  </si>
  <si>
    <t>краевые субвенции на содержание административно-управленч. и учебно-вспомогат.персонал</t>
  </si>
  <si>
    <t>В т.ч. Иные цели за счет краевых средств</t>
  </si>
  <si>
    <t>краевые субвенции на  общеобразовательные программы</t>
  </si>
  <si>
    <t>Реализация дополнительных общеобразовательных общеразвивающих программ</t>
  </si>
  <si>
    <t>краевые субвенции на  общеобразовательные программы  (0702)</t>
  </si>
  <si>
    <t>Реализация дополнительных общеобразовательных общеразвивающих программ  (0703)</t>
  </si>
  <si>
    <t>Ежемесячное вознаграждение за классное руководство</t>
  </si>
  <si>
    <t xml:space="preserve">Всего объем финасового обеспечения муниципального задания </t>
  </si>
  <si>
    <t>МБОУ "Школа №2 им. Ю.А.Гагарина"</t>
  </si>
  <si>
    <t>МБОУ СОШ №7</t>
  </si>
  <si>
    <t>МБОУ СОШ №9</t>
  </si>
  <si>
    <t>Итого по школам</t>
  </si>
  <si>
    <r>
      <t xml:space="preserve">Реализация основных общеобразовательных программ </t>
    </r>
    <r>
      <rPr>
        <b/>
        <sz val="11"/>
        <color theme="1"/>
        <rFont val="Times New Roman"/>
        <family val="1"/>
        <charset val="204"/>
      </rPr>
      <t>начального</t>
    </r>
    <r>
      <rPr>
        <sz val="11"/>
        <color theme="1"/>
        <rFont val="Times New Roman"/>
        <family val="1"/>
        <charset val="204"/>
      </rPr>
      <t xml:space="preserve"> общего образования 801012О.99.0.БА81АЭ92001; 801012О.99.0.БА81АА00001; 801012О.99.0.БА81АЮ16001</t>
    </r>
  </si>
  <si>
    <r>
      <t xml:space="preserve">Реализация основных общеобразовательных программ </t>
    </r>
    <r>
      <rPr>
        <b/>
        <sz val="11"/>
        <color theme="1"/>
        <rFont val="Times New Roman"/>
        <family val="1"/>
        <charset val="204"/>
      </rPr>
      <t>среднего</t>
    </r>
    <r>
      <rPr>
        <sz val="11"/>
        <color theme="1"/>
        <rFont val="Times New Roman"/>
        <family val="1"/>
        <charset val="204"/>
      </rPr>
      <t xml:space="preserve"> общего образования 802112О.99.0.ББ11АЮ58001; 802112О.99.0.ББ11АА00001; 802112О.99.0.ББ11АЮ83001</t>
    </r>
  </si>
  <si>
    <r>
      <t xml:space="preserve">Реализация основных общеобразовательных программ </t>
    </r>
    <r>
      <rPr>
        <b/>
        <sz val="11"/>
        <color theme="1"/>
        <rFont val="Times New Roman"/>
        <family val="1"/>
        <charset val="204"/>
      </rPr>
      <t xml:space="preserve">основного </t>
    </r>
    <r>
      <rPr>
        <sz val="11"/>
        <color theme="1"/>
        <rFont val="Times New Roman"/>
        <family val="1"/>
        <charset val="204"/>
      </rPr>
      <t>общего образования 802111О.99.0.БАЮ58001; 802111О.99.0.БА96АА00001; 802111О.99.0.БА96АЮ83001</t>
    </r>
  </si>
  <si>
    <r>
      <t xml:space="preserve">Реализация </t>
    </r>
    <r>
      <rPr>
        <b/>
        <sz val="11"/>
        <rFont val="Times New Roman"/>
        <family val="1"/>
        <charset val="204"/>
      </rPr>
      <t>дополнительных</t>
    </r>
    <r>
      <rPr>
        <sz val="11"/>
        <rFont val="Times New Roman"/>
        <family val="1"/>
        <charset val="204"/>
      </rPr>
      <t xml:space="preserve"> общеобразовательных общеразвивающих программ 801012О.99.0.ББ57АЕ52000; 804200О.99.0.ББ52АЕ76000; 804200О.99.0.ББ52АЕ04000; 804200О.99.0.ББ52АЖ24000  </t>
    </r>
  </si>
  <si>
    <t>Наименование услуги</t>
  </si>
  <si>
    <t>Форма организации обучения. Направленность групп</t>
  </si>
  <si>
    <t>в т.ч. Местный бюджет</t>
  </si>
  <si>
    <t>Итого:</t>
  </si>
  <si>
    <t>в соответствии с перечнем</t>
  </si>
  <si>
    <t>в т.ч. Краевой бюджет адм-упр.и уч.-вспом. Персонал,руб.</t>
  </si>
  <si>
    <t>Доплата до МРОТ краевой бюджет</t>
  </si>
  <si>
    <t>в т.ч. Местный бюджет, руб.</t>
  </si>
  <si>
    <t>Доплата до МРОТ местный бюджет</t>
  </si>
  <si>
    <t>в т.ч. ВНЕбюджет, руб.</t>
  </si>
  <si>
    <t>МБДОУ д/с № 4</t>
  </si>
  <si>
    <t>801011О.99.0.БВ24ДП02000; 801011О.99.0.БВ24ДН82000; 801011О.99.0.БВ24ГД82000; 801011О.99.0.БВ24АУ02000; 801011О.99.0.БВ24АВ42000;</t>
  </si>
  <si>
    <t>Реализация основных общеобразовательных программ дошкольного образования</t>
  </si>
  <si>
    <t>до 3 лет (b3)</t>
  </si>
  <si>
    <t>чел.</t>
  </si>
  <si>
    <t>от 3 до 7 лет (b8)</t>
  </si>
  <si>
    <t>853211О.99.0.БВ19АА68000; 853211О.99.0.БВ19АА56000; 853211О.99.0.БВ19АБ82000; 853211О.99.0.БВ19АА20000</t>
  </si>
  <si>
    <r>
      <rPr>
        <b/>
        <sz val="11"/>
        <rFont val="Times New Roman"/>
        <family val="1"/>
        <charset val="204"/>
      </rPr>
      <t>Присмотр и уход</t>
    </r>
  </si>
  <si>
    <t>внебюджет</t>
  </si>
  <si>
    <t>МБДОУ д/с № 7</t>
  </si>
  <si>
    <t>Присмотр и уход</t>
  </si>
  <si>
    <t>Повышение на4,3%</t>
  </si>
  <si>
    <t>Повышение оплаты труда до целевого показателя</t>
  </si>
  <si>
    <t>АУП 4,3%</t>
  </si>
  <si>
    <t>МБДОУ д/с № 9</t>
  </si>
  <si>
    <t>МБДОУ д/с № 10</t>
  </si>
  <si>
    <t>до 3 лет  (b3)</t>
  </si>
  <si>
    <t>МБДОУ д/с № 12</t>
  </si>
  <si>
    <t>до 3 лет (b=3)</t>
  </si>
  <si>
    <t>МБДОУ д/с № 13</t>
  </si>
  <si>
    <t>МБДОУ д/с № 14</t>
  </si>
  <si>
    <t>МБДОУ д/с № 15</t>
  </si>
  <si>
    <t>МБДОУ д/с № 18</t>
  </si>
  <si>
    <t>МАДОУ д/с№ 17</t>
  </si>
  <si>
    <t>ИТОГО</t>
  </si>
  <si>
    <t>Ковалева Лариса Валерьевна (39144)3-79-43</t>
  </si>
  <si>
    <t>2. Дошкольные образовательные учреждения</t>
  </si>
  <si>
    <t>Всего нормативных затрат на оказание услуг (работ) по учреждению</t>
  </si>
  <si>
    <t>в том числе по источникам финансирования</t>
  </si>
  <si>
    <t>Коэффициент выравнивания до предельного объема финансирования в 2017 году к Присмотру и уходу</t>
  </si>
  <si>
    <t>Коэффициент выравнивания до предельного объема финансирования в 2017 году к Реализации основных общеобразовательных программ дошкольного образования</t>
  </si>
  <si>
    <t>Краевой бюджет</t>
  </si>
  <si>
    <t>Местный бюджет</t>
  </si>
  <si>
    <t>Присмотр и уход (местный бюджет)</t>
  </si>
  <si>
    <t>Присмотр и уход (родительская плата)</t>
  </si>
  <si>
    <t>за счет краевого бюджета на обеспечение учебного процесса</t>
  </si>
  <si>
    <t>За счет краевого бюджета на административно-управленческий и учебно-вспомогательный персонал</t>
  </si>
  <si>
    <t>присмотр и уход за счет местного бюджета</t>
  </si>
  <si>
    <t>в т.ч. за счет краевого бюджета на обеспечение учебного процесса</t>
  </si>
  <si>
    <t>в т.ч.  За счет краевого бюджета на административно-управленческий и учебно-вспомогат-й персонал</t>
  </si>
  <si>
    <t>в т.ч.  За счет местного бюджета</t>
  </si>
  <si>
    <r>
      <t>в т.ч.  За счет местного бюджета</t>
    </r>
    <r>
      <rPr>
        <sz val="8"/>
        <rFont val="Times New Roman"/>
        <family val="1"/>
        <charset val="204"/>
      </rPr>
      <t xml:space="preserve"> </t>
    </r>
    <r>
      <rPr>
        <sz val="7"/>
        <rFont val="Times New Roman"/>
        <family val="1"/>
        <charset val="204"/>
      </rPr>
      <t>(с питанием)</t>
    </r>
  </si>
  <si>
    <t xml:space="preserve">Присмотр и уход (за счет родительской платы)  </t>
  </si>
  <si>
    <t>Всего объем финасового обеспечения муниципального задания (за минусом доходов от предпринимательской деятельности)</t>
  </si>
  <si>
    <t>МБДОУ д/с №14</t>
  </si>
  <si>
    <t>МАДОУ д/с № 17</t>
  </si>
  <si>
    <t>3. Учреждения дополнительного образования детей (местный бюджет)</t>
  </si>
  <si>
    <r>
      <t>Базовый норматив затрат на единицу объема, на</t>
    </r>
    <r>
      <rPr>
        <b/>
        <sz val="8"/>
        <color rgb="FFFF0000"/>
        <rFont val="Times New Roman"/>
        <family val="1"/>
        <charset val="204"/>
      </rPr>
      <t xml:space="preserve"> 26.01.22г.</t>
    </r>
  </si>
  <si>
    <r>
      <t xml:space="preserve">Нормативные затраты на оказание муницп-й услуги, на </t>
    </r>
    <r>
      <rPr>
        <b/>
        <sz val="8"/>
        <color rgb="FFFF0000"/>
        <rFont val="Times New Roman"/>
        <family val="1"/>
        <charset val="204"/>
      </rPr>
      <t>26.01.22г.</t>
    </r>
  </si>
  <si>
    <t>Корректировка бюджета 16.02.22г.</t>
  </si>
  <si>
    <t>Базовый норматив затрат на единицу объема, на 16.02.22г.</t>
  </si>
  <si>
    <t>Нормативные затраты на оказание муницп-й услуги, на 16.02.22г.</t>
  </si>
  <si>
    <t>Корректировка бюджета 01.06.22г.</t>
  </si>
  <si>
    <t>Базовый норматив затрат на единицу объема, на 01.06.22г.</t>
  </si>
  <si>
    <t>Нормативные затраты на оказание муницп-й услуги, на 01.06.22г.</t>
  </si>
  <si>
    <t>Корректировка бюджета 27.07.22г.</t>
  </si>
  <si>
    <t>Базовый норматив затрат на единицу объема, на 27.07.22г.</t>
  </si>
  <si>
    <t>Нормативные затраты на оказание муницп-й услуги, на 27.07.22г.</t>
  </si>
  <si>
    <t>Корректировка бюджета 14.09.22г.</t>
  </si>
  <si>
    <t>Базовый норматив затрат на единицу объема, на 14.09.22г.</t>
  </si>
  <si>
    <t>Нормативные затраты на оказание муницп-й услуги, на 14.09.22г.</t>
  </si>
  <si>
    <t>Корректировка бюджета 23.11.22г.</t>
  </si>
  <si>
    <t>Базовый норматив затрат на единицу объема, на 23.11.22г.</t>
  </si>
  <si>
    <t>Нормативные затраты на оказание муницп-й услуги, на 23.11.22г.</t>
  </si>
  <si>
    <t>Корректировка бюджета 21.12.22г.</t>
  </si>
  <si>
    <t>Базовый норматив затрат на единицу объема, на 21.12.22г.</t>
  </si>
  <si>
    <t>Нормативные затраты на оказание муницп-й услуги, на 21.12.22г.</t>
  </si>
  <si>
    <t>Базовый норматив затрат на единицу объема, на 11.01.21г.</t>
  </si>
  <si>
    <t>Нормативные затраты на оказание муницп-й услуги, на 11.01.21г.</t>
  </si>
  <si>
    <t>Базовый норматив затрат на единицу объема, на 17.02.21г.</t>
  </si>
  <si>
    <t>Нормативные затраты на оказание муницп-й услуги, на 17.02.21г.</t>
  </si>
  <si>
    <t>Базовый норматив затрат на единицу объема, на 31.03.21г.</t>
  </si>
  <si>
    <t>Нормативные затраты на оказание муницп-й услуги, на 31.03.21г.</t>
  </si>
  <si>
    <t>Базовый норматив затрат на единицу объема, на 26.05.21г.</t>
  </si>
  <si>
    <t>Нормативные затраты на оказание муницп-й услуги, на 26.05.21г.</t>
  </si>
  <si>
    <t>Базовый норматив затрат на единицу объема, на 01.10.21г.</t>
  </si>
  <si>
    <t>Нормативные затраты на оказание муницп-й услуги, на 01.10.21г.</t>
  </si>
  <si>
    <t>2019 год c 01.09.2019</t>
  </si>
  <si>
    <t>2019 год срзнач.</t>
  </si>
  <si>
    <t>решение №19-118-ГС от 16.02.2022г.</t>
  </si>
  <si>
    <t>решение №23-144-ГС от 01.06.2022г.</t>
  </si>
  <si>
    <t>решение №25-160-ГС от 27.07.2022г.</t>
  </si>
  <si>
    <t>решение №26-161-ГС от 14.09.2022г.</t>
  </si>
  <si>
    <t>решение №…..-ГС от 23.11.2022г.</t>
  </si>
  <si>
    <t>решение №…..-ГС от 21.12.2022г.</t>
  </si>
  <si>
    <t>(чел/час)</t>
  </si>
  <si>
    <t>2023г.</t>
  </si>
  <si>
    <t>2024г.</t>
  </si>
  <si>
    <t>2025г.</t>
  </si>
  <si>
    <t>добавить к з/п в прилож.№2</t>
  </si>
  <si>
    <t>объем, 2021г.</t>
  </si>
  <si>
    <t>2021г.</t>
  </si>
  <si>
    <t>руб.</t>
  </si>
  <si>
    <t>сумма на МЗ (без спорта)</t>
  </si>
  <si>
    <t>33 417 035,12 сумма на МЗ со спортом</t>
  </si>
  <si>
    <t>сумма на МЗ (без работ-спорта)</t>
  </si>
  <si>
    <t>34 422 689,12 сумма на МЗ со спортом</t>
  </si>
  <si>
    <t>34 259 407,28 сумма на МЗ со споортом</t>
  </si>
  <si>
    <t>34 810 160,28 сумма на МЗ со споортом</t>
  </si>
  <si>
    <t>36087914,28 сумма на МЗ со споортом</t>
  </si>
  <si>
    <t>36683062,96 сумма на МЗ со споортом</t>
  </si>
  <si>
    <t>МБОУ ДО "ДДТ"</t>
  </si>
  <si>
    <t>чел.-час.</t>
  </si>
  <si>
    <t>Реализация дополнительных общеразвивающих программ (техническое направление) 804200О.99.0.ББ52АЕ04000</t>
  </si>
  <si>
    <t>Реализация дополнительных общеразвивающих программ (туристическо-краеведческое направление) 804200О.99.0.ББ52А368000</t>
  </si>
  <si>
    <t>Реализация дополнительных общеразвивающих программ (художественное направление) 804200О.99.0.ББ52АЕ76000</t>
  </si>
  <si>
    <t>чел/час</t>
  </si>
  <si>
    <t>ИТОГО по  услуге :</t>
  </si>
  <si>
    <t>Услуга 1</t>
  </si>
  <si>
    <t>сумма на ПФ</t>
  </si>
  <si>
    <t>Методическое обеспечение образовательной деятельности Р.01.1.0007.0001.002</t>
  </si>
  <si>
    <t xml:space="preserve"> кол-во мероприятий</t>
  </si>
  <si>
    <t>ИТОГО по  работе :</t>
  </si>
  <si>
    <t>Работа 1</t>
  </si>
  <si>
    <t>на 2021г.</t>
  </si>
  <si>
    <t>на 2022-23г.</t>
  </si>
  <si>
    <t>Краевая доплата пед.работ.</t>
  </si>
  <si>
    <t>Повышение на 10%</t>
  </si>
  <si>
    <t>Доплата до МРОТ разница</t>
  </si>
  <si>
    <t>Доплата до МРОТ</t>
  </si>
  <si>
    <t>Итого по учреждению:</t>
  </si>
  <si>
    <t>на 2023г.</t>
  </si>
  <si>
    <t>на 2024-25г.</t>
  </si>
  <si>
    <t>Нормативные затраты на оказание муницп-й услуги, на 11.01.22г.</t>
  </si>
  <si>
    <t>сумма на спорт.объекты</t>
  </si>
  <si>
    <t>без ПФ</t>
  </si>
  <si>
    <t>сумма на МЗ</t>
  </si>
  <si>
    <t>Сумма финансир-я</t>
  </si>
  <si>
    <t>Мисько Галина Владимировна  (39144)3-16-33</t>
  </si>
  <si>
    <t>по бюджетной росписи</t>
  </si>
  <si>
    <t>сумма на объекты спорта и метод.обесп.</t>
  </si>
  <si>
    <t>корректировка 26.05.2021г.</t>
  </si>
  <si>
    <t>разница суммы финансирования м/у 22годом и 23-24годами</t>
  </si>
  <si>
    <t>Нормативные затраты на оказание муницп-й услуги, на 26.01.22г.</t>
  </si>
  <si>
    <t>МЗ + ПФ</t>
  </si>
  <si>
    <t>корректировка 29.09.2021г.</t>
  </si>
  <si>
    <t>МЗ</t>
  </si>
  <si>
    <t>спорт</t>
  </si>
  <si>
    <t>2024-2025гг</t>
  </si>
  <si>
    <t>усл.</t>
  </si>
  <si>
    <t>сумма на м/б по МЗ (усл.1+спорт+метод.обесп)</t>
  </si>
  <si>
    <t>ПФ</t>
  </si>
  <si>
    <t>сумма на услугу1</t>
  </si>
  <si>
    <t>минус с МЗ</t>
  </si>
  <si>
    <t>на эту сумму уменьшить норматив на 24-25гг</t>
  </si>
  <si>
    <t xml:space="preserve">Приложение № 4 к Приказу </t>
  </si>
  <si>
    <t>3. Учреждения дополнительного образования детей</t>
  </si>
  <si>
    <t xml:space="preserve">Реализация дополнительных общеразвивающих программ (учреждения дополнительного образования детей) </t>
  </si>
  <si>
    <t xml:space="preserve">Реализация дополнительных общеразвивающих программ (естественно-научное направление) 804200О.99.0.ББ52АЕ28000 </t>
  </si>
  <si>
    <t>Корректировка бюджета 25.01.23г.</t>
  </si>
  <si>
    <t>решение №30-196-ГС от 25.01.2023г.</t>
  </si>
  <si>
    <t>Базовый норматив затрат на единицу объема, на 25.01.23г.</t>
  </si>
  <si>
    <t>Нормативные затраты на оказание муницп-й услуги, на 25.01.23г.</t>
  </si>
  <si>
    <t>м/б - сумма на МЗ (без спорта)</t>
  </si>
  <si>
    <t>м/б - сумма на МЗ (спорт)</t>
  </si>
  <si>
    <t>м/б - сумма на МЗ (со спортом), по бюджетн.росписи</t>
  </si>
  <si>
    <t>ПФ - сумма без изменений, по бюджетн.росписи</t>
  </si>
  <si>
    <t>реализация основных, общеобразовательных программ (МБ)</t>
  </si>
  <si>
    <t>Всего за счет местного бюджета</t>
  </si>
  <si>
    <r>
      <rPr>
        <sz val="10"/>
        <color rgb="FF0070C0"/>
        <rFont val="Times New Roman"/>
        <family val="1"/>
        <charset val="204"/>
      </rPr>
      <t>Услуга сверх МЗ</t>
    </r>
    <r>
      <rPr>
        <sz val="10"/>
        <rFont val="Times New Roman"/>
        <family val="1"/>
        <charset val="204"/>
      </rPr>
      <t xml:space="preserve"> присмотр и уход (за счет родительской платы)</t>
    </r>
  </si>
  <si>
    <t>в том числе:</t>
  </si>
  <si>
    <t>в том числе по услугам:</t>
  </si>
  <si>
    <r>
      <t xml:space="preserve">присмотр и уход за счет местного бюджета </t>
    </r>
    <r>
      <rPr>
        <i/>
        <sz val="6"/>
        <color rgb="FF0070C0"/>
        <rFont val="Times New Roman"/>
        <family val="1"/>
        <charset val="204"/>
      </rPr>
      <t xml:space="preserve"> </t>
    </r>
  </si>
  <si>
    <t>коэф-т объема финансирования к нормативу</t>
  </si>
  <si>
    <t>коэф-т выше 1,0, т.к. в январе 2023г.были выделены доп.суммы на рег.выплаты(9месяцев), т.е. это МРОТ, а в нормативах этой суммы -нет.</t>
  </si>
  <si>
    <t>1. Дошкольные образовательные учреждения</t>
  </si>
  <si>
    <t>К1 Группы общеразвивающей направленности (за исключением малокомплектных образовательных организаций) (1 группа)</t>
  </si>
  <si>
    <t>К2 Группы компенсирующей направленности (за исключением малокомплектных образовательных организаций) (3группы)</t>
  </si>
  <si>
    <t>K1 Группы общеразвивающей направленности (за исключением малокомплектных образовательных организаций) (1 группа)</t>
  </si>
  <si>
    <t>K3 Группы комбинированной направленности (за исключением малокомплектных образовательных организаций), городской населенный пункт (5группы)</t>
  </si>
  <si>
    <t>К9 Группы общеразвив. направленности, в которых воспитанники посещают бассейн (1группа)</t>
  </si>
  <si>
    <t>К9 Группы общеразвивающей направленности, в которых воспитанники посещают бассейн (1группа)</t>
  </si>
  <si>
    <t>К11 Группы комбинированной направленности, в которых воспитанники посещают бассейн (4группы)</t>
  </si>
  <si>
    <t>K3 Группы комбинированной направленности (за исключением малокомплектных образовательных организаций), городской населенный пункт (6групп)</t>
  </si>
  <si>
    <t>К1 Группы общеразвивающей направленности (за исключением малокомплектных образовательных организаций) (1группа)</t>
  </si>
  <si>
    <t>итого:</t>
  </si>
  <si>
    <t xml:space="preserve">Всего объем финасового обеспечения на выполнение МЗ </t>
  </si>
  <si>
    <r>
      <t xml:space="preserve">в т.ч.  За счет краевого бюджета на административно-управленческий и учебно-вспомогательный персонал              </t>
    </r>
    <r>
      <rPr>
        <i/>
        <sz val="5"/>
        <rFont val="Times New Roman"/>
        <family val="1"/>
        <charset val="204"/>
      </rPr>
      <t xml:space="preserve"> </t>
    </r>
  </si>
  <si>
    <r>
      <t>в т.ч. за счет краевого бюджета на обеспечение учебного процесса</t>
    </r>
    <r>
      <rPr>
        <i/>
        <sz val="5"/>
        <rFont val="Times New Roman"/>
        <family val="1"/>
        <charset val="204"/>
      </rPr>
      <t xml:space="preserve"> </t>
    </r>
  </si>
  <si>
    <t>Корректировка бюджета 29.03.23г.</t>
  </si>
  <si>
    <t>решение №...-...-ГС от 29.03.2023г.</t>
  </si>
  <si>
    <t>Базовый норматив затрат на единицу объема, на 29.03.23г.</t>
  </si>
  <si>
    <t>Нормативные затраты на оказание муницп-й услуги, на 29.03.23г.</t>
  </si>
  <si>
    <r>
      <t xml:space="preserve">Реализация основных общеобразовательных программ </t>
    </r>
    <r>
      <rPr>
        <b/>
        <sz val="11"/>
        <color theme="1"/>
        <rFont val="Times New Roman"/>
        <family val="1"/>
        <charset val="204"/>
      </rPr>
      <t>среднего общего</t>
    </r>
    <r>
      <rPr>
        <sz val="11"/>
        <color theme="1"/>
        <rFont val="Times New Roman"/>
        <family val="1"/>
        <charset val="204"/>
      </rPr>
      <t xml:space="preserve"> образования 802112О.99.0.ББ11АЮ58001; 802112О.99.0.ББ11АА00001; 802112О.99.0.ББ11АЮ83001</t>
    </r>
  </si>
  <si>
    <r>
      <t xml:space="preserve">Реализация основных общеобразовательных программ </t>
    </r>
    <r>
      <rPr>
        <b/>
        <sz val="11"/>
        <color theme="1"/>
        <rFont val="Times New Roman"/>
        <family val="1"/>
        <charset val="204"/>
      </rPr>
      <t>основного общего</t>
    </r>
    <r>
      <rPr>
        <sz val="11"/>
        <color theme="1"/>
        <rFont val="Times New Roman"/>
        <family val="1"/>
        <charset val="204"/>
      </rPr>
      <t xml:space="preserve"> образования 802111О.99.0.БАЮ58001; 802111О.99.0.БА96АА00001; 802111О.99.0.БА96АЮ83001</t>
    </r>
  </si>
  <si>
    <r>
      <t xml:space="preserve">Реализация основных общеобразовательных программ </t>
    </r>
    <r>
      <rPr>
        <b/>
        <sz val="11"/>
        <color theme="1"/>
        <rFont val="Times New Roman"/>
        <family val="1"/>
        <charset val="204"/>
      </rPr>
      <t>начального общего</t>
    </r>
    <r>
      <rPr>
        <sz val="11"/>
        <color theme="1"/>
        <rFont val="Times New Roman"/>
        <family val="1"/>
        <charset val="204"/>
      </rPr>
      <t xml:space="preserve"> образования 801012О.99.0.БА81АЭ92001; 801012О.99.0.БА81АА00001; 801012О.99.0.БА81АЮ16001</t>
    </r>
  </si>
  <si>
    <r>
      <t xml:space="preserve">Реализация основных общеобразовательных программ </t>
    </r>
    <r>
      <rPr>
        <b/>
        <sz val="11"/>
        <color theme="1"/>
        <rFont val="Times New Roman"/>
        <family val="1"/>
        <charset val="204"/>
      </rPr>
      <t>основного</t>
    </r>
    <r>
      <rPr>
        <sz val="11"/>
        <color theme="1"/>
        <rFont val="Times New Roman"/>
        <family val="1"/>
        <charset val="204"/>
      </rPr>
      <t xml:space="preserve"> общего образования 802111О.99.0.БАЮ58001; 802111О.99.0.БА96АА00001; 802111О.99.0.БА96АЮ83001</t>
    </r>
  </si>
  <si>
    <r>
      <t>Реализация</t>
    </r>
    <r>
      <rPr>
        <b/>
        <sz val="11"/>
        <rFont val="Times New Roman"/>
        <family val="1"/>
        <charset val="204"/>
      </rPr>
      <t xml:space="preserve"> дополнительных</t>
    </r>
    <r>
      <rPr>
        <sz val="11"/>
        <rFont val="Times New Roman"/>
        <family val="1"/>
        <charset val="204"/>
      </rPr>
      <t xml:space="preserve"> общеобразовательных общеразвивающих программ 801012О.99.0.ББ57АЕ52000; 804200О.99.0.ББ52АЕ76000; 804200О.99.0.ББ52АЕ04000; 804200О.99.0.ББ52АЖ24000  </t>
    </r>
  </si>
  <si>
    <r>
      <t xml:space="preserve">Реализация основных общеобразовательных программ </t>
    </r>
    <r>
      <rPr>
        <b/>
        <sz val="11"/>
        <color theme="1"/>
        <rFont val="Times New Roman"/>
        <family val="1"/>
        <charset val="204"/>
      </rPr>
      <t xml:space="preserve">среднего </t>
    </r>
    <r>
      <rPr>
        <sz val="11"/>
        <color theme="1"/>
        <rFont val="Times New Roman"/>
        <family val="1"/>
        <charset val="204"/>
      </rPr>
      <t>общего образования 802112О.99.0.ББ11АЮ58001; 802112О.99.0.ББ11АА00001; 802112О.99.0.ББ11АЮ83001</t>
    </r>
  </si>
  <si>
    <t>решение ГС №34-205-НПА от 24.05.23г.</t>
  </si>
  <si>
    <t>Корректировка бюджета 24.05.23г.</t>
  </si>
  <si>
    <t>Базовый норматив затрат на единицу объема, на 24.05.23г.</t>
  </si>
  <si>
    <t>Нормативные затраты на оказание муницп-й услуги, на 24.05.23г.</t>
  </si>
  <si>
    <t>разница между доходом по ПФ и заявкой</t>
  </si>
  <si>
    <t>направленность</t>
  </si>
  <si>
    <t>техническая</t>
  </si>
  <si>
    <t>естественно-науч.</t>
  </si>
  <si>
    <t>плюсом- кол-во чел/час (1вар)</t>
  </si>
  <si>
    <t>плюсом- кол-во чел/час (вар.2 с 01.09.23г)</t>
  </si>
  <si>
    <t>сред.норматив</t>
  </si>
  <si>
    <t>итого доход учреждения по ПФ ДОД с учетом суммы заявки на 09.08.23г.</t>
  </si>
  <si>
    <t>сумма краевой субсидии</t>
  </si>
  <si>
    <t>до 3 лет (b3) t1/речь</t>
  </si>
  <si>
    <t>2026 год</t>
  </si>
  <si>
    <t>от 3 до 8 лет (b8)</t>
  </si>
  <si>
    <t xml:space="preserve"> от 3 до 8 лет (b8) t1/речь</t>
  </si>
  <si>
    <t>от 3 до 8 лет (b8) t1/речь</t>
  </si>
  <si>
    <t>от 3 до 8 лет(b8) t1/речь</t>
  </si>
  <si>
    <t>от 3 до 8 лет(b8)</t>
  </si>
  <si>
    <t>от 3 до 8 лет (b=8)</t>
  </si>
  <si>
    <t>от 3 до 8 лет (b=8) t1/речь</t>
  </si>
  <si>
    <t>Объем финансового обеспечения на выполнение муниципального задания на 2026 год</t>
  </si>
  <si>
    <t xml:space="preserve">Объем финансового обеспечения на выполнение муниципального задания на 2026 год </t>
  </si>
  <si>
    <t>от 3 до 8 лет (b8) t7/ДЦП</t>
  </si>
  <si>
    <t xml:space="preserve">от 3 до 8 лет </t>
  </si>
  <si>
    <t>дети инвалиды по МЗ</t>
  </si>
  <si>
    <t>ОВЗ</t>
  </si>
  <si>
    <t>сироты по МЗ</t>
  </si>
  <si>
    <t>по Дорожной карте, в расчете сумма:</t>
  </si>
  <si>
    <t>В бюджетной росписи от 23.12.2023г.сумма на МЗ:</t>
  </si>
  <si>
    <t>Краевая Субсидия: 5 418 386,0 руб., из них на МЗ 39%- 2 113 170,35 руб.</t>
  </si>
  <si>
    <t>Итого по бюджетной росписи:</t>
  </si>
  <si>
    <t>норматив уменьшить на</t>
  </si>
  <si>
    <t>Итого сумма на услугу (без работы "Методич.обеспеч…."), равна:</t>
  </si>
  <si>
    <t>м/б</t>
  </si>
  <si>
    <t>Кол-во ОВЗ на 1чел.больше, т.к.он ещё и надомник</t>
  </si>
  <si>
    <t xml:space="preserve">от 3 до 8 лет (b8) </t>
  </si>
  <si>
    <t>Численность на м/б, на 2024-2026гг</t>
  </si>
  <si>
    <t>Нормативные затраты на оказание муницп-й услуги, на 11.01.24г.</t>
  </si>
  <si>
    <t>Базовый норматив затрат на единицу объема, на 11.01.24г.</t>
  </si>
  <si>
    <t>Корректировка бюджета 24.04.24г.</t>
  </si>
  <si>
    <t>решение ГС №46-288-НПА от 24.04.24г.</t>
  </si>
  <si>
    <t>Базовый норматив затрат на единицу объема, на 24.04.24г.</t>
  </si>
  <si>
    <t>Нормативные затраты на оказание муницп-й услуги, на 24.04.24г.</t>
  </si>
  <si>
    <t>Бюджетная Роспись от 29.12.2023г.</t>
  </si>
  <si>
    <t>Корректировка бюджета от 20.12.2023г</t>
  </si>
  <si>
    <t>решение ДГС №42-252-ГС от 20.12.23г.</t>
  </si>
  <si>
    <t>м/б - сумма на МЗ (с работой "Метод.обеспеч."), по бюджетн.росписи</t>
  </si>
  <si>
    <t>Комун.усл. …8062Т</t>
  </si>
  <si>
    <t>прочие усл. …80620</t>
  </si>
  <si>
    <t>ЗП … 8062Z</t>
  </si>
  <si>
    <t>м/б - сумма на МЗ (работа "Метод.обеспеч.)</t>
  </si>
  <si>
    <t>м/б - сумма на МЗ (без работы)</t>
  </si>
  <si>
    <t>ПФ СЗ сумма по бюджетн.росписи</t>
  </si>
  <si>
    <t>Бюджетная Роспись от 03.06.2024г.</t>
  </si>
  <si>
    <t>ПФ СЗ, …8065Е  квр 614</t>
  </si>
  <si>
    <t>Субсидия на МЗ,  …7568 D</t>
  </si>
  <si>
    <t>Субсидия на ПФ,  …7568 Е</t>
  </si>
  <si>
    <t>софинансирование из м/б,  …S568Е</t>
  </si>
  <si>
    <t>разница (50 368 974,57 - 45 830 885,50)=</t>
  </si>
  <si>
    <t>сумма с софинансир-ем</t>
  </si>
  <si>
    <t>сумма на МЗ без субсидии</t>
  </si>
  <si>
    <t>сумма на МЗ с субсидией</t>
  </si>
  <si>
    <t>сумма без работы</t>
  </si>
  <si>
    <t>Сумма по учреждению без софинансирования,  т.к. эти 59 869,07 руб. из м/б.падают на ПФ СЗ</t>
  </si>
  <si>
    <t>сумма на МЗ с субсидией и прибавила софинансир-е 59 869,07 руб.</t>
  </si>
  <si>
    <t>сумма на МЗ с субсидией и прибавила софинансир-е 59 869,07 руб., но без работы</t>
  </si>
  <si>
    <t>Корректировка бюджета 26.06.24г.</t>
  </si>
  <si>
    <t>решение ГС №49-295-НПА от 26.06.24г.</t>
  </si>
  <si>
    <t>Бюджетная Роспись от 27.06.2024г.</t>
  </si>
  <si>
    <t>Базовый норматив затрат на единицу объема, на 28.06.24г.</t>
  </si>
  <si>
    <t>Нормативные затраты на оказание муницп-й услуги, на 28.06.24г.</t>
  </si>
  <si>
    <t>сумма МЗ без работы</t>
  </si>
  <si>
    <t>сумма на МЗ без работы</t>
  </si>
  <si>
    <t>работа "Метод.обеспеч…"</t>
  </si>
  <si>
    <t>субсидия на МЗ увеличилась на 133 651,56 на доп.места</t>
  </si>
  <si>
    <t>субсидия на СЗ увеличилась на 375 000,00 на доп.места</t>
  </si>
  <si>
    <t>Итого на МЗ:</t>
  </si>
  <si>
    <t>Итого на СЗ:</t>
  </si>
  <si>
    <t>Итого на учрежд-е:</t>
  </si>
  <si>
    <t>Итого на МЗ без работы:</t>
  </si>
  <si>
    <t>Сумма по учреждению с софинансир-ем (59 869,07 руб.) и увелич.субсидии на доп.места по МЗ и ПФ СЗ</t>
  </si>
  <si>
    <t>Корректировка бюджета 07.08.24г.</t>
  </si>
  <si>
    <t>решение ГС №50-301-НПА от 07.08.24г.</t>
  </si>
  <si>
    <t>Бюджетная Роспись от 08.08.2024г.</t>
  </si>
  <si>
    <t>прибавить к нормативу</t>
  </si>
  <si>
    <t>Базовый норматив затрат на единицу объема, на 08.08.24г.</t>
  </si>
  <si>
    <t>Нормативные затраты на оказание муницп-й услуги, на 08.08.24г.</t>
  </si>
  <si>
    <t>Корректировка бюджета 25.09.24г.</t>
  </si>
  <si>
    <t>решение ГС №  -    -НПА от 25.09.24г.</t>
  </si>
  <si>
    <t>Бюджетная Роспись от 30.09.2024г.</t>
  </si>
  <si>
    <t>Базовый норматив затрат на единицу объема, на 30.09.24г.</t>
  </si>
  <si>
    <t>Нормативные затраты на оказание муницп-й услуги, на 30.09.24г.</t>
  </si>
  <si>
    <t>прибавить к нормативу на ПФ</t>
  </si>
  <si>
    <t>ПФ - сумма, по бюджетн.росписи</t>
  </si>
  <si>
    <t>Корректировка бюджета 13.11.24г.</t>
  </si>
  <si>
    <t>Бюджетная Роспись от 15.11.2024г.</t>
  </si>
  <si>
    <t>решение ГС №52-313-НПА от 13.11.24г.</t>
  </si>
  <si>
    <t>Базовый норматив затрат на единицу объема, на 15.11.24г.</t>
  </si>
  <si>
    <t>Нормативные затраты на оказание муницп-й услуги, на 15.11.24г.</t>
  </si>
  <si>
    <t>отнять от норматива на ПФ</t>
  </si>
  <si>
    <t>прибавить к нормативу на МЗ</t>
  </si>
  <si>
    <t>С СЗ сняли и добавили на ПФ на з/п</t>
  </si>
  <si>
    <t>2025-2026гг., было</t>
  </si>
  <si>
    <t>2025-2026гг., стало</t>
  </si>
  <si>
    <t>объем по ПФ СЗ</t>
  </si>
  <si>
    <r>
      <t xml:space="preserve">ср.Численность на м/б, на 2024-2026гг, </t>
    </r>
    <r>
      <rPr>
        <b/>
        <sz val="9"/>
        <rFont val="Times New Roman"/>
        <family val="1"/>
        <charset val="204"/>
      </rPr>
      <t>по МЗ от 01.10.2024г</t>
    </r>
  </si>
  <si>
    <t>Нормативные затраты на оказание муницп-й услуги, на 15.11.24г. (численность изменилась по МЗ от 01.10.24г)</t>
  </si>
  <si>
    <t>Базовый норматив затрат на единицу объема, 2025-2026гг., на 15.11.24г (численность изменилась по МЗ от 01.10.24г)</t>
  </si>
  <si>
    <t>Базовый норматив затрат на единицу объема, 2025-2026гг    (на 11.01.2024г)</t>
  </si>
  <si>
    <t>27.11.2024г.</t>
  </si>
  <si>
    <t>социально-гуманитарная</t>
  </si>
  <si>
    <t>туристско-краеведческая</t>
  </si>
  <si>
    <t>физкультурно-спортивная</t>
  </si>
  <si>
    <t>художественная</t>
  </si>
  <si>
    <t>естественнонаучная</t>
  </si>
  <si>
    <t>в т.ч. Краевой бюджет адм-упр.и уч-вспом. Персонал с коэффициен-м</t>
  </si>
  <si>
    <r>
      <t xml:space="preserve">Обучение детей  в образовательных организациях, реализующих программы общего образования </t>
    </r>
    <r>
      <rPr>
        <b/>
        <sz val="11"/>
        <color theme="1"/>
        <rFont val="Times New Roman"/>
        <family val="1"/>
        <charset val="204"/>
      </rPr>
      <t xml:space="preserve">математический класс </t>
    </r>
    <r>
      <rPr>
        <sz val="11"/>
        <color theme="1"/>
        <rFont val="Times New Roman"/>
        <family val="1"/>
        <charset val="204"/>
      </rPr>
      <t>(k = 1)</t>
    </r>
  </si>
  <si>
    <t>2027 год</t>
  </si>
  <si>
    <t>Объем финансового обеспечения на выполнение муниципального задания на 2027 год</t>
  </si>
  <si>
    <t>2027 год, всего</t>
  </si>
  <si>
    <t>2027г</t>
  </si>
  <si>
    <r>
      <t xml:space="preserve">Реализация основных общеобразовательных программ </t>
    </r>
    <r>
      <rPr>
        <b/>
        <sz val="11"/>
        <color theme="1"/>
        <rFont val="Times New Roman"/>
        <family val="1"/>
        <charset val="204"/>
      </rPr>
      <t>основного общего образования</t>
    </r>
    <r>
      <rPr>
        <sz val="11"/>
        <color theme="1"/>
        <rFont val="Times New Roman"/>
        <family val="1"/>
        <charset val="204"/>
      </rPr>
      <t xml:space="preserve"> 802111О.99.0.БАЮ58001; 802111О.99.0.БА96АА00001; 802111О.99.0.БА96АЮ83001</t>
    </r>
  </si>
  <si>
    <t xml:space="preserve">Объем финансового обеспечения на выполнение муниципального задания на 2027 год </t>
  </si>
  <si>
    <t>26-27гг-без клас.рук-ва</t>
  </si>
  <si>
    <t xml:space="preserve">до 3  лет (b3) </t>
  </si>
  <si>
    <t>К3 Группы комбинированной направленности (за исключением малокомплектных образовательных организаций), городской населенный пункт (4групп)</t>
  </si>
  <si>
    <t>K2 Группы компенсирующей направленности (за исключением малокомплектных образовательных организаций) (4группы)</t>
  </si>
  <si>
    <t>K3 Группы комбинированной направленности (за исключением малокомплектных образовательных организаций), городской населенный пункт (3групп)</t>
  </si>
  <si>
    <t>K2 Группы компенсирующей направленности (за исключением малокомплектных образовательных организаций) (2группы)</t>
  </si>
  <si>
    <t>К10 Группы компенсирующей направленности, в которых воспитанники посещают бассейн (2руппы)</t>
  </si>
  <si>
    <t>К11 Группы комбинированной направленности, в которых воспитанники посещают бассейн (3групп)</t>
  </si>
  <si>
    <t>K1 Группы общеразвивающей направленности (за исключением малокомплектных образовательных организаций) (0группа)</t>
  </si>
  <si>
    <t>до 3  лет (b3) t7/ДЦП</t>
  </si>
  <si>
    <t>К9 Группы общеразвив. направленности, в которых воспитанники посещают бассейн (0группа)</t>
  </si>
  <si>
    <t>К10 Группы компенсирующей направленности, в которых воспитанники посещают бассейн (5группы)</t>
  </si>
  <si>
    <t>разновозр, с налич. детей до 3 лет (b3) t7/ДЦП</t>
  </si>
  <si>
    <t>К11 Группы комбинированной направленности, в которых воспитанники посещают бассейн (4групп)</t>
  </si>
  <si>
    <t xml:space="preserve"> до 3 лет (b8)</t>
  </si>
  <si>
    <r>
      <t xml:space="preserve">Всего объем финасового обеспечения муниципального задания      </t>
    </r>
    <r>
      <rPr>
        <b/>
        <i/>
        <sz val="11"/>
        <rFont val="Times New Roman"/>
        <family val="1"/>
        <charset val="204"/>
      </rPr>
      <t>(Без классного руководства)</t>
    </r>
  </si>
  <si>
    <t>Базовый норматив затрат на единицу объема, 2026г</t>
  </si>
  <si>
    <t>Базовый норматив затрат на единицу объема, 2027г</t>
  </si>
  <si>
    <t>1\21</t>
  </si>
  <si>
    <t>5\89</t>
  </si>
  <si>
    <t>2\46</t>
  </si>
  <si>
    <t>2\15</t>
  </si>
  <si>
    <t>с 1 инвалидом</t>
  </si>
  <si>
    <r>
      <t xml:space="preserve">с 1 инвалидом и </t>
    </r>
    <r>
      <rPr>
        <sz val="11"/>
        <color theme="9" tint="-0.499984740745262"/>
        <rFont val="Times New Roman"/>
        <family val="1"/>
        <charset val="204"/>
      </rPr>
      <t>0</t>
    </r>
    <r>
      <rPr>
        <sz val="11"/>
        <rFont val="Times New Roman"/>
        <family val="1"/>
        <charset val="204"/>
      </rPr>
      <t xml:space="preserve"> опека</t>
    </r>
  </si>
  <si>
    <t>K1 Группы общеразвивающей направленности (за исключением малокомплектных образовательных организаций)</t>
  </si>
  <si>
    <t>K3 Группы комбинированной направленности (за исключением малокомплектных образовательных организаций), городской населенный пункт (2группы)</t>
  </si>
  <si>
    <t>K2 Группы компенсирующей направленности (за исключением малокомплектных образовательных организаций) (1группа)</t>
  </si>
  <si>
    <t>К3 Группы комбинированной направленности (за исключением малокомплектных образовательных организаций), городской населенный пункт (3группы)</t>
  </si>
  <si>
    <t>от 3 до 8 лет (b8) t8/речь</t>
  </si>
  <si>
    <t>K1 Группы общеразвивающей направленности (за исключением малокомплектных образовательных организаций) (1группа)</t>
  </si>
  <si>
    <t>на 01.01.2025 год</t>
  </si>
  <si>
    <t>2025год c 01.09.2025</t>
  </si>
  <si>
    <t>4\67</t>
  </si>
  <si>
    <t>4\52</t>
  </si>
  <si>
    <t>Техническая помощь инвалидам</t>
  </si>
  <si>
    <t>Численность на м/б, на 2025г</t>
  </si>
  <si>
    <t>Базовый норматив затрат на единицу объема, на 09.01.25г.</t>
  </si>
  <si>
    <t>Нормативные затраты на оказание муницп-й услуги, на 09.01.25г.</t>
  </si>
  <si>
    <t>Численность на м/б, на 2026г</t>
  </si>
  <si>
    <t>Базовый норматив затрат на единицу объема, на 09.01.26г.</t>
  </si>
  <si>
    <t>Нормативные затраты на оказание муницп-й услуги, на 09.01.26г.</t>
  </si>
  <si>
    <t>Численность на м/б, на 2027г</t>
  </si>
  <si>
    <t>Базовый норматив затрат на единицу объема, на 09.01.27г.</t>
  </si>
  <si>
    <t>Нормативные затраты на оказание муницп-й услуги, на 09.01.27г.</t>
  </si>
  <si>
    <t>2027г.</t>
  </si>
  <si>
    <t>2026г.</t>
  </si>
  <si>
    <t>Корректировка бюджета от 12.02.2025г</t>
  </si>
  <si>
    <t>решение ДГС №54-331-НПА от 12.02.25г.</t>
  </si>
  <si>
    <t>Базовый норматив затрат на единицу объема, на 12.02.25г.</t>
  </si>
  <si>
    <t>Нормативные затраты на оказание муницп-й услуги, на 12.02.25г.</t>
  </si>
  <si>
    <t>Базовый норматив затрат на единицу объема, на 12.02.2026г.</t>
  </si>
  <si>
    <t>Нормативные затраты на оказание муницп-й услуги, на 12.02.2026г.</t>
  </si>
  <si>
    <t>Базовый норматив затрат на единицу объема, на 12.02.2027г.</t>
  </si>
  <si>
    <t>Нормативные затраты на оказание муницп-й услуги, на 12.02.2027г.</t>
  </si>
  <si>
    <t>Базовый норматив затрат на единицу объема, на 26.03.25г.</t>
  </si>
  <si>
    <t>Нормативные затраты на оказание муницп-й услуги, на 26.03.25г.</t>
  </si>
  <si>
    <t>ПФ  МЗ - без изменений</t>
  </si>
  <si>
    <t>добавить к нормативу</t>
  </si>
  <si>
    <t>Корректировка бюджета от 26.03.2025г</t>
  </si>
  <si>
    <t>решение ДГС № 56-341-НПА от 26.03.25г.</t>
  </si>
  <si>
    <t>Корректировка бюджета от 28.05.2025г</t>
  </si>
  <si>
    <t>решение ДГС № 58-351-НПА от 28.05.25г.</t>
  </si>
  <si>
    <t>ПФ  МЗ - увелич.на</t>
  </si>
  <si>
    <t>Базовый норматив затрат на единицу объема, на 30.05.25г.,  по БРосп.</t>
  </si>
  <si>
    <t>Нормативные затраты на оказание муницп-й услуги, на 30.05.25г.,  по БРосп.</t>
  </si>
  <si>
    <t>Корректировка бюджета от 10.09.2025г</t>
  </si>
  <si>
    <t>решение ДГС № 62-363-НПА от 10.09.25г.</t>
  </si>
  <si>
    <t>Базовый норматив затрат на единицу объема, на 12.09.25г.,  по БРосп.</t>
  </si>
  <si>
    <t>Нормативные затраты на оказание муницп-й услуги, на 12.09.25г.,  по БРосп.</t>
  </si>
  <si>
    <t>дети инвалиды-5 по МЗ</t>
  </si>
  <si>
    <t>дети инвалиды-1 по МЗ</t>
  </si>
  <si>
    <t xml:space="preserve">с 5 инвалидами и 2 опека </t>
  </si>
  <si>
    <r>
      <t xml:space="preserve">Реализация </t>
    </r>
    <r>
      <rPr>
        <b/>
        <sz val="11"/>
        <rFont val="Times New Roman"/>
        <family val="1"/>
        <charset val="204"/>
      </rPr>
      <t>дополнительных</t>
    </r>
    <r>
      <rPr>
        <sz val="11"/>
        <rFont val="Times New Roman"/>
        <family val="1"/>
        <charset val="204"/>
      </rPr>
      <t xml:space="preserve"> общеразвивающих программ </t>
    </r>
  </si>
  <si>
    <t>с 0 инвалида и 1 опека</t>
  </si>
  <si>
    <r>
      <t xml:space="preserve">в т.ч. Краевой бюджет пед.персонал </t>
    </r>
    <r>
      <rPr>
        <sz val="11"/>
        <color rgb="FF0070C0"/>
        <rFont val="Times New Roman"/>
        <family val="1"/>
        <charset val="204"/>
      </rPr>
      <t>(краевой норматив на доп-е общераз-е программы)</t>
    </r>
  </si>
  <si>
    <r>
      <t>в т.ч. Краевой бюджет пед.персонал, руб.</t>
    </r>
    <r>
      <rPr>
        <sz val="11"/>
        <color rgb="FF0070C0"/>
        <rFont val="Times New Roman"/>
        <family val="1"/>
        <charset val="204"/>
      </rPr>
      <t xml:space="preserve"> (краевой бюджет на доп-е общераз-е программы)</t>
    </r>
  </si>
  <si>
    <t>дети инвалиды-1, по МЗ</t>
  </si>
  <si>
    <t>инвалид-1, по МЗ</t>
  </si>
  <si>
    <t>K2 Группы компенсирующей направленности (за исключением малокомплектных образовательных организаций) (1группы)</t>
  </si>
  <si>
    <t>5\78</t>
  </si>
  <si>
    <t>1\20</t>
  </si>
  <si>
    <t>4\58</t>
  </si>
  <si>
    <t>2\47</t>
  </si>
  <si>
    <t>4\50</t>
  </si>
  <si>
    <t>6\98</t>
  </si>
  <si>
    <t>2\9</t>
  </si>
  <si>
    <t>2\10</t>
  </si>
  <si>
    <r>
      <t xml:space="preserve">итого по услуге </t>
    </r>
    <r>
      <rPr>
        <sz val="11"/>
        <color rgb="FF0070C0"/>
        <rFont val="Times New Roman"/>
        <family val="1"/>
        <charset val="204"/>
      </rPr>
      <t>(без детей из мед.учрежд-я)</t>
    </r>
    <r>
      <rPr>
        <b/>
        <sz val="11"/>
        <color rgb="FF000000"/>
        <rFont val="Times New Roman"/>
        <family val="1"/>
        <charset val="204"/>
      </rPr>
      <t>:</t>
    </r>
  </si>
  <si>
    <t xml:space="preserve"> c 01.09.2025 год</t>
  </si>
  <si>
    <t>от 3 до 8 лет (b8) t8/аутизм</t>
  </si>
  <si>
    <t>разновозр, с налич. детей от 3 лет до 8лет (b8) t7/ДЦП</t>
  </si>
  <si>
    <t>от 3 до 8 лет (b8) t11/аутизм</t>
  </si>
  <si>
    <t>Сред.Численность на м/б+ПФ, на 2025г</t>
  </si>
  <si>
    <t>Базовый норматив затрат на единицу объема, на 09.09.25г.</t>
  </si>
  <si>
    <r>
      <t xml:space="preserve">Нормативные затраты на оказание муницп-й услуги, </t>
    </r>
    <r>
      <rPr>
        <b/>
        <sz val="8"/>
        <color rgb="FF0070C0"/>
        <rFont val="Times New Roman"/>
        <family val="1"/>
        <charset val="204"/>
      </rPr>
      <t>на 24.10.25г.</t>
    </r>
  </si>
  <si>
    <t>Базовый норматив затрат на единицу объема, на 09.09.26г.</t>
  </si>
  <si>
    <t>Базовый норматив затрат на единицу объема, на 09.09.27г.</t>
  </si>
  <si>
    <r>
      <t xml:space="preserve">Нормативные затраты на оказание муницп-й услуги, на </t>
    </r>
    <r>
      <rPr>
        <b/>
        <sz val="8"/>
        <color rgb="FF0070C0"/>
        <rFont val="Times New Roman"/>
        <family val="1"/>
        <charset val="204"/>
      </rPr>
      <t>24.10.26г.</t>
    </r>
  </si>
  <si>
    <r>
      <t xml:space="preserve">Нормативные затраты на оказание муницп-й услуги, на </t>
    </r>
    <r>
      <rPr>
        <b/>
        <sz val="8"/>
        <color rgb="FF0070C0"/>
        <rFont val="Times New Roman"/>
        <family val="1"/>
        <charset val="204"/>
      </rPr>
      <t>24.10.27г.</t>
    </r>
  </si>
  <si>
    <t>Сред.Численность на м/б+пф, на 2026г</t>
  </si>
  <si>
    <t>Сред.Численность на м/б+ПФ, на 2027г</t>
  </si>
  <si>
    <t>Сред.Значение объема муниципальной услуги (работы)</t>
  </si>
  <si>
    <r>
      <t xml:space="preserve">Реализация </t>
    </r>
    <r>
      <rPr>
        <b/>
        <sz val="10"/>
        <rFont val="Times New Roman"/>
        <family val="1"/>
        <charset val="204"/>
      </rPr>
      <t>дополнительных</t>
    </r>
    <r>
      <rPr>
        <sz val="10"/>
        <rFont val="Times New Roman"/>
        <family val="1"/>
        <charset val="204"/>
      </rPr>
      <t xml:space="preserve"> общеразвивающих программ</t>
    </r>
  </si>
  <si>
    <t>Реализация дополнительных общеразвивающих программ  (0703)</t>
  </si>
  <si>
    <t>Корректировка бюджета от 26.11.2025г</t>
  </si>
  <si>
    <t>решение ГС № 3-6-НПА от 26.11.25г.</t>
  </si>
  <si>
    <t>Базовый норматив затрат на единицу объема, на 01.12.25г.,  по БРосп.</t>
  </si>
  <si>
    <t>Нормативные затраты на оказание муницп-й услуги, на 01.12.25г.,  по БРосп.</t>
  </si>
  <si>
    <t>ПФ  МЗ + СЗ - увелич.з/п на</t>
  </si>
  <si>
    <t>сумма без Работы 1</t>
  </si>
  <si>
    <t>дети инв-ды-0 по МЗ, опека-1</t>
  </si>
  <si>
    <t>Корректировка бюджета от 17.12.2025г</t>
  </si>
  <si>
    <t>решение ГС №  -  -НПА от 17.12.25г.</t>
  </si>
  <si>
    <t>Базовый норматив затрат на единицу объема, на 18.12.25г.,  по БРосп.</t>
  </si>
  <si>
    <t>Нормативные затраты на оказание муницп-й услуги, на 18.12.25г.,  по БРосп.</t>
  </si>
  <si>
    <t>добавить</t>
  </si>
  <si>
    <t>2026 год по МЗ</t>
  </si>
  <si>
    <t>2028 год</t>
  </si>
  <si>
    <t>Всего на 2026 год:</t>
  </si>
  <si>
    <t>2028 год, всего</t>
  </si>
  <si>
    <t>2028г</t>
  </si>
  <si>
    <t>2027-2028гг</t>
  </si>
  <si>
    <t>2027- 2028гг</t>
  </si>
  <si>
    <t>Нормативные затраты на оказание муниципальных услуг (работ) на 2026-2028 гг.</t>
  </si>
  <si>
    <t>Расчет финансового обеспечения муниципальных учреждений на выполнение муниципального задания  на 2026-2028 год</t>
  </si>
  <si>
    <t>Нормативные затраты на оказание муниципальной услуги (работы) на 2026г</t>
  </si>
  <si>
    <t xml:space="preserve">Объем финансового обеспечения на выполнение муниципального задания на 2028 год </t>
  </si>
  <si>
    <t>Расчет финансового обеспечения муниципальных учреждений на выполнение муниципального задания  на 2026-2028 годы</t>
  </si>
  <si>
    <t xml:space="preserve">Коэффициенты выравнивания на 2026 год  </t>
  </si>
  <si>
    <t>Объем финансового обеспечения на выполнение муниципального задания на 2028 год</t>
  </si>
  <si>
    <t xml:space="preserve"> 2026 год</t>
  </si>
  <si>
    <t>Базовый норматив затрат на единицу объема, 2028г</t>
  </si>
  <si>
    <t>Расчет финансового обеспечения муниципальных учреждений на выполнение муниципального задания на 2026-2028 годы</t>
  </si>
  <si>
    <r>
      <t>с  1 инвалидом,</t>
    </r>
    <r>
      <rPr>
        <sz val="11"/>
        <color rgb="FFC00000"/>
        <rFont val="Times New Roman"/>
        <family val="1"/>
        <charset val="204"/>
      </rPr>
      <t xml:space="preserve"> 0 опека</t>
    </r>
  </si>
  <si>
    <t>дети инвалиды-0, по МЗ</t>
  </si>
  <si>
    <t>численность из НАВИГАТОРА, предоставляет Панфилова А.А.</t>
  </si>
  <si>
    <t>дети инвалиды-2, по МЗ</t>
  </si>
  <si>
    <t>присмотр и уход за счет м/б</t>
  </si>
  <si>
    <t>реализ.основн.общеобраз.программ</t>
  </si>
  <si>
    <t>субсидия</t>
  </si>
  <si>
    <t>Реализация дополнительных общеобразовательных общеразвивающих программ,   U/H</t>
  </si>
  <si>
    <r>
      <t xml:space="preserve">дети из </t>
    </r>
    <r>
      <rPr>
        <b/>
        <sz val="10"/>
        <color rgb="FF0070C0"/>
        <rFont val="Times New Roman"/>
        <family val="1"/>
        <charset val="204"/>
      </rPr>
      <t>мед.учреждения</t>
    </r>
    <r>
      <rPr>
        <sz val="10"/>
        <color rgb="FF0070C0"/>
        <rFont val="Times New Roman"/>
        <family val="1"/>
        <charset val="204"/>
      </rPr>
      <t xml:space="preserve"> в общую численность НЕ ВХОДЯТ</t>
    </r>
  </si>
  <si>
    <t>должно быть как в приказе по ПФ-шаг 1</t>
  </si>
  <si>
    <t>разница</t>
  </si>
  <si>
    <t xml:space="preserve">Разница </t>
  </si>
  <si>
    <t>до 3 лет (b8) t8/псих.</t>
  </si>
  <si>
    <t>разновозр, с налич. детей до 3 лет (b3) t8/псих.</t>
  </si>
  <si>
    <t>K10 Группы компенсирующей направленности (за исключением малокомплектных образовательных организаций) (1группа)</t>
  </si>
  <si>
    <t>от 3 до 8 лет К2 (b8) t1/речь</t>
  </si>
  <si>
    <r>
      <t xml:space="preserve">Обучение детей  в образовательных организациях, реализующих программы общего образования </t>
    </r>
    <r>
      <rPr>
        <b/>
        <sz val="11"/>
        <color theme="1"/>
        <rFont val="Times New Roman"/>
        <family val="1"/>
        <charset val="204"/>
      </rPr>
      <t xml:space="preserve">специализированный класс </t>
    </r>
    <r>
      <rPr>
        <sz val="11"/>
        <color theme="1"/>
        <rFont val="Times New Roman"/>
        <family val="1"/>
        <charset val="204"/>
      </rPr>
      <t>(k = 1)</t>
    </r>
  </si>
  <si>
    <t>1013620,33- на 1 класс+27940,38 на 1 человека</t>
  </si>
  <si>
    <r>
      <t xml:space="preserve">1013620,33- на 1 класс+ </t>
    </r>
    <r>
      <rPr>
        <sz val="11"/>
        <color rgb="FF0070C0"/>
        <rFont val="Times New Roman"/>
        <family val="1"/>
        <charset val="204"/>
      </rPr>
      <t>2198,86</t>
    </r>
    <r>
      <rPr>
        <sz val="11"/>
        <color indexed="8"/>
        <rFont val="Times New Roman"/>
        <family val="1"/>
        <charset val="204"/>
      </rPr>
      <t>- на 1 человека</t>
    </r>
  </si>
  <si>
    <t>955631,11- на 1 класс+27940,38 на 1 человека</t>
  </si>
  <si>
    <t>955631,11- на 1 класс+ 2198,86на 1 человека</t>
  </si>
  <si>
    <t>1507123,31- на 1 класс+ 28238,40 на 1 человека</t>
  </si>
  <si>
    <t>1507123,31- на 1 класс+ 2750,57 на 1 человека</t>
  </si>
  <si>
    <t>1273397,23- на 1 класс+ 28238,40 на 1 человека</t>
  </si>
  <si>
    <t>1273397,23- на 1 класс+2750,57 на 1 человека</t>
  </si>
  <si>
    <t>1428519,97 на 1 класс+ 28587,53 на 1 человека</t>
  </si>
  <si>
    <t>1428517,97на 1 класс+2726,40 на 1 человека</t>
  </si>
  <si>
    <t>332314,42- на 1 класс</t>
  </si>
  <si>
    <t>К3 Группы комбинированной направленности (за исключением малокомплектных образовательных организаций), городской населенный пункт (4группы)</t>
  </si>
  <si>
    <t>K2 Группы компенсирующей направленности (за исключением малокомплектных образовательных организаций) (3группы)</t>
  </si>
  <si>
    <t>K3 Группы комбинированной направленности (за исключением малокомплектных образовательных организаций)(2групп)</t>
  </si>
  <si>
    <t>K1 Группы общеразвивающей направленности (за исключением малокомплектных образовательных организаций) (2 группа)</t>
  </si>
  <si>
    <t>K3 Группы комбинированной направленности (за исключением малокомплектных образовательных организаций), городской населенный пункт (5групп)</t>
  </si>
  <si>
    <t>К3 Группы комбинированной направленности (за исключением малокомплектных образовательных организаций) (5групп)</t>
  </si>
  <si>
    <t>4\59</t>
  </si>
  <si>
    <t>4\45</t>
  </si>
  <si>
    <t>4\37</t>
  </si>
  <si>
    <t>5\79</t>
  </si>
  <si>
    <t>5\66</t>
  </si>
  <si>
    <t>5\58</t>
  </si>
  <si>
    <t>6\99</t>
  </si>
  <si>
    <t>6\106</t>
  </si>
  <si>
    <t>6\100</t>
  </si>
  <si>
    <t>2\48</t>
  </si>
  <si>
    <t>2\55</t>
  </si>
  <si>
    <t>2\49</t>
  </si>
  <si>
    <t>2\17</t>
  </si>
  <si>
    <r>
      <t>с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rgb="FF0070C0"/>
        <rFont val="Times New Roman"/>
        <family val="1"/>
        <charset val="204"/>
      </rPr>
      <t>8</t>
    </r>
    <r>
      <rPr>
        <sz val="11"/>
        <rFont val="Times New Roman"/>
        <family val="1"/>
        <charset val="204"/>
      </rPr>
      <t xml:space="preserve"> инвалидами и</t>
    </r>
    <r>
      <rPr>
        <sz val="11"/>
        <color rgb="FF0070C0"/>
        <rFont val="Times New Roman"/>
        <family val="1"/>
        <charset val="204"/>
      </rPr>
      <t xml:space="preserve"> 3</t>
    </r>
    <r>
      <rPr>
        <sz val="11"/>
        <rFont val="Times New Roman"/>
        <family val="1"/>
        <charset val="204"/>
      </rPr>
      <t xml:space="preserve"> сирот (по МЗ на 26-28гг)</t>
    </r>
  </si>
  <si>
    <t>от 3 до 8 лет (b8) t11/аутиз.</t>
  </si>
  <si>
    <t>с  2 инвалидами</t>
  </si>
  <si>
    <t>Базовый норматив затрат на единицу объема, на 12.01.26г.</t>
  </si>
  <si>
    <t>Нормативные затраты на оказание муницп-й услуги, на 12.01.26г.</t>
  </si>
  <si>
    <t>Базовый норматив затрат на единицу объема, на 25.02.26г.</t>
  </si>
  <si>
    <t>Нормативные затраты на оказание муницп-й услуги, на 25.02.26г. Гор.Совет</t>
  </si>
  <si>
    <r>
      <rPr>
        <b/>
        <sz val="11"/>
        <color rgb="FF0070C0"/>
        <rFont val="Times New Roman"/>
        <family val="1"/>
        <charset val="204"/>
      </rPr>
      <t>56222,49</t>
    </r>
    <r>
      <rPr>
        <sz val="11"/>
        <rFont val="Times New Roman"/>
        <family val="1"/>
        <charset val="204"/>
      </rPr>
      <t>- на 1 человека</t>
    </r>
  </si>
  <si>
    <t>от 3 до 8 лет (b3) t8/ДЦП.</t>
  </si>
  <si>
    <r>
      <rPr>
        <sz val="11"/>
        <color rgb="FF0070C0"/>
        <rFont val="Times New Roman"/>
        <family val="1"/>
        <charset val="204"/>
      </rPr>
      <t>56222,49</t>
    </r>
    <r>
      <rPr>
        <sz val="11"/>
        <rFont val="Times New Roman"/>
        <family val="1"/>
        <charset val="204"/>
      </rPr>
      <t xml:space="preserve"> на 1 человека</t>
    </r>
  </si>
  <si>
    <r>
      <rPr>
        <sz val="11"/>
        <color rgb="FF0070C0"/>
        <rFont val="Times New Roman"/>
        <family val="1"/>
        <charset val="204"/>
      </rPr>
      <t>56222,49</t>
    </r>
    <r>
      <rPr>
        <sz val="11"/>
        <rFont val="Times New Roman"/>
        <family val="1"/>
        <charset val="204"/>
      </rPr>
      <t>- на 1 человека</t>
    </r>
  </si>
  <si>
    <t>Техническое направление (804200О.99.0.ББ52АЕ04000)</t>
  </si>
  <si>
    <t>Художественное направление (804200О.99.0.ББ52АЕ76000)</t>
  </si>
  <si>
    <t>январь-май 2026г</t>
  </si>
  <si>
    <r>
      <t xml:space="preserve">Реализация </t>
    </r>
    <r>
      <rPr>
        <b/>
        <sz val="11"/>
        <rFont val="Times New Roman"/>
        <family val="1"/>
        <charset val="204"/>
      </rPr>
      <t>дополнительных</t>
    </r>
    <r>
      <rPr>
        <sz val="11"/>
        <rFont val="Times New Roman"/>
        <family val="1"/>
        <charset val="204"/>
      </rPr>
      <t xml:space="preserve"> общеразвивающих программ                                 (с софинансированием м/б)</t>
    </r>
  </si>
  <si>
    <t xml:space="preserve">январь-май 2026г                        </t>
  </si>
  <si>
    <t>сентябрь-декабрь 2026г (январь-май 2027г)</t>
  </si>
  <si>
    <t>Реализация дополнительных общеразвивающих программ (естественно-научное направление) 804200О.99.0.ББ52АЕ28000</t>
  </si>
  <si>
    <t>Реализация дополнительных общеразвивающих программ (туристическо-краеведческое направление) 804200О.99.0.ББ52АЗ68000</t>
  </si>
  <si>
    <t>Реализация дополнительных общеразвивающих программ (физкультурно-спортивная) 804200О.99.0.ББ52АЗ20000</t>
  </si>
  <si>
    <t>Реализация дополнительных общеразвивающих программ (социально-гуманитарное направление) 854100О.99.0.ББ52БЭ28000</t>
  </si>
  <si>
    <t>Естественнонаучное направление (804200О.99.0.ББ52АЕ28000)</t>
  </si>
  <si>
    <t>Социально-гумманитарное направление (854100О.99.0.ББ52БЭ28000)</t>
  </si>
  <si>
    <t>Физкультурно-спортивное направление (804200О.99.0.ББ52АЗ20000)</t>
  </si>
  <si>
    <t>Физкультурно-спортивная направленность  (804200О.99.0.ББ52АЗ20000)</t>
  </si>
  <si>
    <t>итого по услуге: (Социально-гумманитарное направление), с софинансированием</t>
  </si>
  <si>
    <t>итого по услугам:  (Социально-гумманитарное направление + Естественнонаучное направление),  с софинансированием</t>
  </si>
  <si>
    <t>итого по услугам: (Социально-гумманитарное направление)</t>
  </si>
  <si>
    <t>итого по услугам:  (Техническое направление + Художественное направление + Физкультурно-спортивное направление)</t>
  </si>
  <si>
    <r>
      <t xml:space="preserve">2026 год </t>
    </r>
    <r>
      <rPr>
        <sz val="11"/>
        <color rgb="FF0070C0"/>
        <rFont val="Times New Roman"/>
        <family val="1"/>
        <charset val="204"/>
      </rPr>
      <t>числен-ть по МЗ за июнь 2026г</t>
    </r>
  </si>
  <si>
    <t>с 1 инвалидом и 0 сирота (по МЗ июнь на 26-28гг)</t>
  </si>
  <si>
    <t>от 3 до 8 лет К3 (b8) t1/речь</t>
  </si>
  <si>
    <t>от 3 до 8 лет (b8) t1/речь.</t>
  </si>
  <si>
    <t xml:space="preserve">к Приказу от 29.07.2026г. №173 </t>
  </si>
  <si>
    <t xml:space="preserve">от 29.07.2026г  №173 </t>
  </si>
  <si>
    <t>к Приказу от 29.07.2026 г. №173</t>
  </si>
  <si>
    <t>от   29.07.2026г  №173</t>
  </si>
  <si>
    <t>Приложение № 4 к приказу от 29.07.2026г  № 173</t>
  </si>
  <si>
    <t>Очно-заочное образ.+классное рук-во</t>
  </si>
  <si>
    <t>Среднее образ-е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</si>
</sst>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#,##0.0"/>
    <numFmt numFmtId="165" formatCode="0.000000"/>
    <numFmt numFmtId="166" formatCode="#,##0.000000000"/>
    <numFmt numFmtId="167" formatCode="#,##0.0000"/>
    <numFmt numFmtId="168" formatCode="#,##0.00000"/>
    <numFmt numFmtId="169" formatCode="#,##0.000"/>
    <numFmt numFmtId="170" formatCode="#,##0.0000000"/>
    <numFmt numFmtId="171" formatCode="0.0000000000"/>
    <numFmt numFmtId="172" formatCode="0.000000000"/>
    <numFmt numFmtId="173" formatCode="0.0000"/>
    <numFmt numFmtId="174" formatCode="#,##0.000000"/>
  </numFmts>
  <fonts count="72" x14ac:knownFonts="1"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70C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sz val="11"/>
      <name val="Arial"/>
      <family val="2"/>
      <charset val="204"/>
    </font>
    <font>
      <sz val="11"/>
      <color theme="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5"/>
      <name val="Times New Roman"/>
      <family val="1"/>
      <charset val="204"/>
    </font>
    <font>
      <sz val="7"/>
      <name val="Times New Roman"/>
      <family val="1"/>
      <charset val="204"/>
    </font>
    <font>
      <sz val="9"/>
      <color rgb="FFC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8"/>
      <color theme="9" tint="-0.499984740745262"/>
      <name val="Times New Roman"/>
      <family val="1"/>
      <charset val="204"/>
    </font>
    <font>
      <sz val="8"/>
      <color theme="9" tint="-0.499984740745262"/>
      <name val="Times New Roman"/>
      <family val="1"/>
      <charset val="204"/>
    </font>
    <font>
      <b/>
      <sz val="8"/>
      <color theme="7" tint="-0.249977111117893"/>
      <name val="Calibri"/>
      <family val="2"/>
      <charset val="204"/>
      <scheme val="minor"/>
    </font>
    <font>
      <b/>
      <sz val="8"/>
      <color theme="9" tint="-0.499984740745262"/>
      <name val="Calibri"/>
      <family val="2"/>
      <charset val="204"/>
      <scheme val="minor"/>
    </font>
    <font>
      <b/>
      <sz val="8"/>
      <color rgb="FF0070C0"/>
      <name val="Calibri"/>
      <family val="2"/>
      <charset val="204"/>
      <scheme val="minor"/>
    </font>
    <font>
      <sz val="9"/>
      <color theme="7" tint="-0.249977111117893"/>
      <name val="Times New Roman"/>
      <family val="1"/>
      <charset val="204"/>
    </font>
    <font>
      <b/>
      <sz val="9"/>
      <color theme="7" tint="-0.249977111117893"/>
      <name val="Times New Roman"/>
      <family val="1"/>
      <charset val="204"/>
    </font>
    <font>
      <sz val="8"/>
      <color theme="7" tint="-0.249977111117893"/>
      <name val="Calibri"/>
      <family val="2"/>
      <charset val="204"/>
      <scheme val="minor"/>
    </font>
    <font>
      <sz val="8"/>
      <color theme="9" tint="-0.499984740745262"/>
      <name val="Calibri"/>
      <family val="2"/>
      <charset val="204"/>
      <scheme val="minor"/>
    </font>
    <font>
      <sz val="8"/>
      <color rgb="FF0070C0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sz val="8"/>
      <color theme="7" tint="-0.249977111117893"/>
      <name val="Times New Roman"/>
      <family val="1"/>
      <charset val="204"/>
    </font>
    <font>
      <b/>
      <sz val="8"/>
      <color rgb="FF0070C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8"/>
      <color rgb="FFC00000"/>
      <name val="Times New Roman"/>
      <family val="1"/>
      <charset val="204"/>
    </font>
    <font>
      <sz val="8"/>
      <color rgb="FFC0000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1"/>
      <color theme="9" tint="-0.499984740745262"/>
      <name val="Times New Roman"/>
      <family val="1"/>
      <charset val="204"/>
    </font>
    <font>
      <i/>
      <sz val="6"/>
      <color rgb="FF0070C0"/>
      <name val="Times New Roman"/>
      <family val="1"/>
      <charset val="204"/>
    </font>
    <font>
      <sz val="7"/>
      <color rgb="FF0070C0"/>
      <name val="Times New Roman"/>
      <family val="1"/>
      <charset val="204"/>
    </font>
    <font>
      <sz val="9"/>
      <color theme="9" tint="-0.499984740745262"/>
      <name val="Times New Roman"/>
      <family val="1"/>
      <charset val="204"/>
    </font>
    <font>
      <b/>
      <sz val="8"/>
      <color theme="7" tint="-0.249977111117893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b/>
      <sz val="11"/>
      <color theme="9" tint="-0.499984740745262"/>
      <name val="Times New Roman"/>
      <family val="1"/>
      <charset val="204"/>
    </font>
    <font>
      <sz val="11"/>
      <color theme="9" tint="-0.249977111117893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color rgb="FF0070C0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b/>
      <sz val="9"/>
      <color theme="9" tint="-0.49998474074526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6" fillId="0" borderId="0"/>
    <xf numFmtId="0" fontId="25" fillId="0" borderId="0"/>
    <xf numFmtId="0" fontId="65" fillId="23" borderId="0" applyNumberFormat="0" applyBorder="0" applyAlignment="0" applyProtection="0"/>
  </cellStyleXfs>
  <cellXfs count="969">
    <xf numFmtId="0" fontId="0" fillId="0" borderId="0" xfId="0"/>
    <xf numFmtId="0" fontId="2" fillId="0" borderId="0" xfId="0" applyFont="1" applyFill="1" applyBorder="1"/>
    <xf numFmtId="0" fontId="2" fillId="3" borderId="0" xfId="0" applyFont="1" applyFill="1" applyBorder="1"/>
    <xf numFmtId="0" fontId="2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2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right"/>
    </xf>
    <xf numFmtId="4" fontId="2" fillId="3" borderId="2" xfId="0" applyNumberFormat="1" applyFont="1" applyFill="1" applyBorder="1" applyAlignment="1">
      <alignment horizontal="right"/>
    </xf>
    <xf numFmtId="3" fontId="4" fillId="3" borderId="2" xfId="0" applyNumberFormat="1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 readingOrder="1"/>
    </xf>
    <xf numFmtId="3" fontId="4" fillId="3" borderId="2" xfId="0" applyNumberFormat="1" applyFont="1" applyFill="1" applyBorder="1" applyAlignment="1">
      <alignment vertical="center" wrapText="1"/>
    </xf>
    <xf numFmtId="3" fontId="4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wrapText="1"/>
    </xf>
    <xf numFmtId="4" fontId="2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left" vertical="center" wrapText="1"/>
    </xf>
    <xf numFmtId="4" fontId="2" fillId="3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wrapText="1"/>
    </xf>
    <xf numFmtId="4" fontId="2" fillId="0" borderId="0" xfId="0" applyNumberFormat="1" applyFont="1" applyFill="1" applyBorder="1"/>
    <xf numFmtId="4" fontId="7" fillId="3" borderId="2" xfId="0" applyNumberFormat="1" applyFont="1" applyFill="1" applyBorder="1" applyAlignment="1"/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/>
    <xf numFmtId="3" fontId="2" fillId="0" borderId="0" xfId="0" applyNumberFormat="1" applyFont="1" applyFill="1" applyBorder="1"/>
    <xf numFmtId="4" fontId="2" fillId="0" borderId="2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/>
    <xf numFmtId="165" fontId="2" fillId="0" borderId="0" xfId="0" applyNumberFormat="1" applyFont="1" applyFill="1" applyBorder="1"/>
    <xf numFmtId="0" fontId="2" fillId="0" borderId="6" xfId="0" applyFont="1" applyFill="1" applyBorder="1"/>
    <xf numFmtId="2" fontId="2" fillId="3" borderId="0" xfId="0" applyNumberFormat="1" applyFont="1" applyFill="1" applyBorder="1"/>
    <xf numFmtId="4" fontId="2" fillId="3" borderId="0" xfId="0" applyNumberFormat="1" applyFont="1" applyFill="1" applyBorder="1"/>
    <xf numFmtId="4" fontId="3" fillId="0" borderId="0" xfId="0" applyNumberFormat="1" applyFont="1" applyFill="1" applyBorder="1"/>
    <xf numFmtId="1" fontId="2" fillId="0" borderId="0" xfId="0" applyNumberFormat="1" applyFont="1" applyFill="1" applyBorder="1"/>
    <xf numFmtId="0" fontId="2" fillId="0" borderId="2" xfId="0" applyFont="1" applyFill="1" applyBorder="1"/>
    <xf numFmtId="0" fontId="2" fillId="3" borderId="2" xfId="0" applyFont="1" applyFill="1" applyBorder="1"/>
    <xf numFmtId="4" fontId="2" fillId="0" borderId="7" xfId="0" applyNumberFormat="1" applyFont="1" applyFill="1" applyBorder="1"/>
    <xf numFmtId="3" fontId="12" fillId="0" borderId="2" xfId="0" applyNumberFormat="1" applyFont="1" applyFill="1" applyBorder="1"/>
    <xf numFmtId="4" fontId="2" fillId="3" borderId="2" xfId="0" applyNumberFormat="1" applyFont="1" applyFill="1" applyBorder="1"/>
    <xf numFmtId="4" fontId="2" fillId="0" borderId="2" xfId="0" applyNumberFormat="1" applyFont="1" applyFill="1" applyBorder="1"/>
    <xf numFmtId="0" fontId="9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Border="1"/>
    <xf numFmtId="0" fontId="7" fillId="0" borderId="0" xfId="0" applyFont="1"/>
    <xf numFmtId="0" fontId="7" fillId="0" borderId="0" xfId="0" applyFont="1" applyFill="1"/>
    <xf numFmtId="0" fontId="7" fillId="0" borderId="0" xfId="0" applyFont="1" applyAlignment="1">
      <alignment wrapText="1"/>
    </xf>
    <xf numFmtId="2" fontId="14" fillId="0" borderId="0" xfId="0" applyNumberFormat="1" applyFont="1" applyAlignment="1">
      <alignment wrapText="1"/>
    </xf>
    <xf numFmtId="0" fontId="9" fillId="0" borderId="0" xfId="0" applyFont="1"/>
    <xf numFmtId="0" fontId="2" fillId="0" borderId="0" xfId="0" applyFont="1"/>
    <xf numFmtId="4" fontId="2" fillId="0" borderId="0" xfId="0" applyNumberFormat="1" applyFont="1"/>
    <xf numFmtId="0" fontId="15" fillId="0" borderId="6" xfId="0" applyFont="1" applyFill="1" applyBorder="1" applyAlignment="1">
      <alignment horizontal="center" vertical="center" wrapText="1" readingOrder="1"/>
    </xf>
    <xf numFmtId="0" fontId="15" fillId="0" borderId="2" xfId="0" applyFont="1" applyFill="1" applyBorder="1" applyAlignment="1">
      <alignment horizontal="center" vertical="center" wrapText="1" readingOrder="1"/>
    </xf>
    <xf numFmtId="0" fontId="17" fillId="0" borderId="5" xfId="2" applyFont="1" applyFill="1" applyBorder="1" applyAlignment="1">
      <alignment horizontal="center" vertical="center" wrapText="1"/>
    </xf>
    <xf numFmtId="0" fontId="20" fillId="0" borderId="5" xfId="1" applyFont="1" applyFill="1" applyBorder="1" applyAlignment="1">
      <alignment horizontal="center" vertical="center" wrapText="1"/>
    </xf>
    <xf numFmtId="0" fontId="20" fillId="0" borderId="2" xfId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 readingOrder="1"/>
    </xf>
    <xf numFmtId="0" fontId="17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 readingOrder="1"/>
    </xf>
    <xf numFmtId="0" fontId="20" fillId="0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4" fontId="2" fillId="0" borderId="2" xfId="2" applyNumberFormat="1" applyFont="1" applyFill="1" applyBorder="1" applyAlignment="1">
      <alignment horizontal="center" vertical="center" wrapText="1" readingOrder="1"/>
    </xf>
    <xf numFmtId="4" fontId="2" fillId="0" borderId="2" xfId="0" applyNumberFormat="1" applyFont="1" applyFill="1" applyBorder="1" applyAlignment="1">
      <alignment horizontal="center" vertical="center" wrapText="1" readingOrder="1"/>
    </xf>
    <xf numFmtId="4" fontId="4" fillId="0" borderId="2" xfId="0" applyNumberFormat="1" applyFont="1" applyFill="1" applyBorder="1" applyAlignment="1">
      <alignment horizontal="center" vertical="center" wrapText="1" readingOrder="1"/>
    </xf>
    <xf numFmtId="4" fontId="2" fillId="3" borderId="2" xfId="0" applyNumberFormat="1" applyFont="1" applyFill="1" applyBorder="1" applyAlignment="1">
      <alignment horizontal="center" vertical="center" wrapText="1" readingOrder="1"/>
    </xf>
    <xf numFmtId="4" fontId="7" fillId="3" borderId="2" xfId="0" applyNumberFormat="1" applyFont="1" applyFill="1" applyBorder="1" applyAlignment="1">
      <alignment horizontal="center" vertical="center" wrapText="1" readingOrder="1"/>
    </xf>
    <xf numFmtId="4" fontId="3" fillId="0" borderId="2" xfId="0" applyNumberFormat="1" applyFont="1" applyFill="1" applyBorder="1" applyAlignment="1">
      <alignment horizontal="center" vertical="center" wrapText="1" readingOrder="1"/>
    </xf>
    <xf numFmtId="4" fontId="13" fillId="0" borderId="0" xfId="0" applyNumberFormat="1" applyFont="1" applyAlignment="1">
      <alignment vertical="center"/>
    </xf>
    <xf numFmtId="0" fontId="4" fillId="3" borderId="2" xfId="0" applyFont="1" applyFill="1" applyBorder="1" applyAlignment="1">
      <alignment horizontal="left" vertical="center" wrapText="1" readingOrder="1"/>
    </xf>
    <xf numFmtId="4" fontId="3" fillId="3" borderId="2" xfId="0" applyNumberFormat="1" applyFont="1" applyFill="1" applyBorder="1" applyAlignment="1">
      <alignment horizontal="center" vertical="center" wrapText="1" readingOrder="1"/>
    </xf>
    <xf numFmtId="4" fontId="7" fillId="0" borderId="0" xfId="0" applyNumberFormat="1" applyFont="1"/>
    <xf numFmtId="0" fontId="5" fillId="3" borderId="2" xfId="0" applyFont="1" applyFill="1" applyBorder="1" applyAlignment="1">
      <alignment horizontal="left" vertical="center" wrapText="1" readingOrder="1"/>
    </xf>
    <xf numFmtId="0" fontId="22" fillId="0" borderId="0" xfId="0" applyFont="1"/>
    <xf numFmtId="4" fontId="22" fillId="0" borderId="0" xfId="0" applyNumberFormat="1" applyFont="1"/>
    <xf numFmtId="0" fontId="2" fillId="0" borderId="2" xfId="0" applyFont="1" applyFill="1" applyBorder="1" applyAlignment="1">
      <alignment horizontal="center" vertical="center" wrapText="1"/>
    </xf>
    <xf numFmtId="2" fontId="7" fillId="0" borderId="0" xfId="0" applyNumberFormat="1" applyFont="1"/>
    <xf numFmtId="4" fontId="23" fillId="0" borderId="0" xfId="0" applyNumberFormat="1" applyFont="1" applyFill="1" applyBorder="1"/>
    <xf numFmtId="0" fontId="24" fillId="0" borderId="0" xfId="0" applyFont="1"/>
    <xf numFmtId="0" fontId="2" fillId="0" borderId="0" xfId="3" applyFont="1" applyFill="1"/>
    <xf numFmtId="0" fontId="2" fillId="3" borderId="0" xfId="3" applyFont="1" applyFill="1"/>
    <xf numFmtId="0" fontId="2" fillId="0" borderId="0" xfId="3" applyFont="1" applyFill="1" applyBorder="1" applyAlignment="1">
      <alignment vertical="top"/>
    </xf>
    <xf numFmtId="0" fontId="26" fillId="0" borderId="0" xfId="3" applyFont="1" applyFill="1" applyBorder="1" applyAlignment="1">
      <alignment vertical="top"/>
    </xf>
    <xf numFmtId="0" fontId="3" fillId="0" borderId="2" xfId="3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left" vertical="top"/>
    </xf>
    <xf numFmtId="0" fontId="2" fillId="3" borderId="2" xfId="3" applyFont="1" applyFill="1" applyBorder="1" applyAlignment="1">
      <alignment horizontal="left" vertical="top"/>
    </xf>
    <xf numFmtId="0" fontId="2" fillId="3" borderId="2" xfId="3" applyFont="1" applyFill="1" applyBorder="1" applyAlignment="1">
      <alignment horizontal="center" vertical="center" wrapText="1"/>
    </xf>
    <xf numFmtId="3" fontId="4" fillId="0" borderId="2" xfId="3" applyNumberFormat="1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 wrapText="1"/>
    </xf>
    <xf numFmtId="4" fontId="2" fillId="0" borderId="0" xfId="3" applyNumberFormat="1" applyFont="1" applyFill="1"/>
    <xf numFmtId="0" fontId="2" fillId="0" borderId="2" xfId="3" applyFont="1" applyFill="1" applyBorder="1" applyAlignment="1">
      <alignment horizontal="center" wrapText="1"/>
    </xf>
    <xf numFmtId="0" fontId="27" fillId="3" borderId="2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/>
    </xf>
    <xf numFmtId="4" fontId="2" fillId="3" borderId="2" xfId="3" applyNumberFormat="1" applyFont="1" applyFill="1" applyBorder="1" applyAlignment="1">
      <alignment horizontal="center" vertical="center"/>
    </xf>
    <xf numFmtId="4" fontId="2" fillId="0" borderId="2" xfId="3" applyNumberFormat="1" applyFont="1" applyFill="1" applyBorder="1" applyAlignment="1">
      <alignment horizontal="center" vertical="center"/>
    </xf>
    <xf numFmtId="3" fontId="19" fillId="3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/>
    </xf>
    <xf numFmtId="4" fontId="3" fillId="3" borderId="2" xfId="3" applyNumberFormat="1" applyFont="1" applyFill="1" applyBorder="1" applyAlignment="1">
      <alignment horizontal="center" vertical="center"/>
    </xf>
    <xf numFmtId="165" fontId="2" fillId="0" borderId="0" xfId="3" applyNumberFormat="1" applyFont="1" applyFill="1"/>
    <xf numFmtId="3" fontId="2" fillId="0" borderId="2" xfId="3" applyNumberFormat="1" applyFont="1" applyFill="1" applyBorder="1" applyAlignment="1">
      <alignment horizontal="center" vertical="center"/>
    </xf>
    <xf numFmtId="4" fontId="28" fillId="0" borderId="2" xfId="3" applyNumberFormat="1" applyFont="1" applyFill="1" applyBorder="1" applyAlignment="1">
      <alignment horizontal="center" vertical="center"/>
    </xf>
    <xf numFmtId="4" fontId="28" fillId="3" borderId="2" xfId="3" applyNumberFormat="1" applyFont="1" applyFill="1" applyBorder="1" applyAlignment="1">
      <alignment horizontal="center" vertical="center"/>
    </xf>
    <xf numFmtId="4" fontId="29" fillId="0" borderId="2" xfId="3" applyNumberFormat="1" applyFont="1" applyFill="1" applyBorder="1" applyAlignment="1">
      <alignment horizontal="center" vertical="center"/>
    </xf>
    <xf numFmtId="3" fontId="29" fillId="0" borderId="2" xfId="3" applyNumberFormat="1" applyFont="1" applyFill="1" applyBorder="1" applyAlignment="1">
      <alignment horizontal="center" vertical="center"/>
    </xf>
    <xf numFmtId="3" fontId="2" fillId="3" borderId="2" xfId="3" applyNumberFormat="1" applyFont="1" applyFill="1" applyBorder="1" applyAlignment="1">
      <alignment horizontal="center" vertical="center"/>
    </xf>
    <xf numFmtId="0" fontId="2" fillId="6" borderId="0" xfId="3" applyFont="1" applyFill="1"/>
    <xf numFmtId="0" fontId="3" fillId="3" borderId="2" xfId="3" applyFont="1" applyFill="1" applyBorder="1" applyAlignment="1">
      <alignment horizontal="center" vertical="center"/>
    </xf>
    <xf numFmtId="3" fontId="3" fillId="3" borderId="2" xfId="3" applyNumberFormat="1" applyFont="1" applyFill="1" applyBorder="1" applyAlignment="1">
      <alignment horizontal="center" vertical="center"/>
    </xf>
    <xf numFmtId="3" fontId="3" fillId="0" borderId="2" xfId="3" applyNumberFormat="1" applyFont="1" applyFill="1" applyBorder="1" applyAlignment="1">
      <alignment horizontal="center" vertical="center"/>
    </xf>
    <xf numFmtId="3" fontId="20" fillId="0" borderId="2" xfId="3" applyNumberFormat="1" applyFont="1" applyFill="1" applyBorder="1" applyAlignment="1">
      <alignment horizontal="center" vertical="center"/>
    </xf>
    <xf numFmtId="4" fontId="2" fillId="7" borderId="0" xfId="3" applyNumberFormat="1" applyFont="1" applyFill="1"/>
    <xf numFmtId="3" fontId="30" fillId="3" borderId="2" xfId="3" applyNumberFormat="1" applyFont="1" applyFill="1" applyBorder="1" applyAlignment="1">
      <alignment horizontal="center" vertical="center"/>
    </xf>
    <xf numFmtId="164" fontId="2" fillId="3" borderId="2" xfId="3" applyNumberFormat="1" applyFont="1" applyFill="1" applyBorder="1" applyAlignment="1">
      <alignment horizontal="center" vertical="center"/>
    </xf>
    <xf numFmtId="0" fontId="3" fillId="0" borderId="0" xfId="3" applyFont="1" applyFill="1"/>
    <xf numFmtId="4" fontId="3" fillId="0" borderId="0" xfId="3" applyNumberFormat="1" applyFont="1" applyFill="1"/>
    <xf numFmtId="0" fontId="2" fillId="0" borderId="0" xfId="3" applyFont="1" applyFill="1" applyBorder="1"/>
    <xf numFmtId="0" fontId="2" fillId="3" borderId="0" xfId="3" applyFont="1" applyFill="1" applyBorder="1"/>
    <xf numFmtId="4" fontId="2" fillId="3" borderId="0" xfId="3" applyNumberFormat="1" applyFont="1" applyFill="1" applyBorder="1"/>
    <xf numFmtId="4" fontId="31" fillId="0" borderId="0" xfId="3" applyNumberFormat="1" applyFont="1" applyFill="1" applyBorder="1"/>
    <xf numFmtId="4" fontId="2" fillId="0" borderId="0" xfId="3" applyNumberFormat="1" applyFont="1" applyFill="1" applyBorder="1"/>
    <xf numFmtId="4" fontId="31" fillId="3" borderId="0" xfId="3" applyNumberFormat="1" applyFont="1" applyFill="1" applyBorder="1"/>
    <xf numFmtId="3" fontId="18" fillId="3" borderId="0" xfId="3" applyNumberFormat="1" applyFont="1" applyFill="1" applyBorder="1" applyAlignment="1">
      <alignment horizontal="right"/>
    </xf>
    <xf numFmtId="4" fontId="2" fillId="3" borderId="0" xfId="3" applyNumberFormat="1" applyFont="1" applyFill="1"/>
    <xf numFmtId="0" fontId="7" fillId="3" borderId="0" xfId="0" applyFont="1" applyFill="1"/>
    <xf numFmtId="0" fontId="7" fillId="0" borderId="0" xfId="0" applyFont="1" applyBorder="1"/>
    <xf numFmtId="0" fontId="7" fillId="3" borderId="0" xfId="0" applyFont="1" applyFill="1" applyBorder="1"/>
    <xf numFmtId="0" fontId="7" fillId="0" borderId="0" xfId="0" applyFont="1" applyFill="1" applyBorder="1"/>
    <xf numFmtId="0" fontId="7" fillId="0" borderId="1" xfId="0" applyFont="1" applyBorder="1"/>
    <xf numFmtId="0" fontId="7" fillId="3" borderId="1" xfId="0" applyFont="1" applyFill="1" applyBorder="1"/>
    <xf numFmtId="4" fontId="7" fillId="0" borderId="1" xfId="0" applyNumberFormat="1" applyFont="1" applyBorder="1"/>
    <xf numFmtId="0" fontId="7" fillId="0" borderId="1" xfId="0" applyFont="1" applyFill="1" applyBorder="1"/>
    <xf numFmtId="0" fontId="2" fillId="0" borderId="9" xfId="0" applyFont="1" applyBorder="1" applyAlignment="1">
      <alignment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/>
    <xf numFmtId="0" fontId="7" fillId="0" borderId="0" xfId="0" applyFont="1" applyBorder="1" applyAlignment="1"/>
    <xf numFmtId="0" fontId="13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4" fontId="35" fillId="3" borderId="0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4" fontId="37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/>
    <xf numFmtId="4" fontId="2" fillId="3" borderId="0" xfId="0" applyNumberFormat="1" applyFont="1" applyFill="1"/>
    <xf numFmtId="4" fontId="7" fillId="3" borderId="0" xfId="0" applyNumberFormat="1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vertical="center" wrapText="1"/>
    </xf>
    <xf numFmtId="0" fontId="39" fillId="9" borderId="0" xfId="0" applyFont="1" applyFill="1" applyBorder="1" applyAlignment="1">
      <alignment horizontal="center" vertical="center" wrapText="1"/>
    </xf>
    <xf numFmtId="0" fontId="39" fillId="5" borderId="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/>
    </xf>
    <xf numFmtId="0" fontId="11" fillId="9" borderId="0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1" fillId="11" borderId="0" xfId="0" applyFont="1" applyFill="1" applyBorder="1" applyAlignment="1">
      <alignment horizontal="center" vertical="center" wrapText="1"/>
    </xf>
    <xf numFmtId="0" fontId="2" fillId="12" borderId="0" xfId="0" applyFont="1" applyFill="1" applyBorder="1"/>
    <xf numFmtId="4" fontId="41" fillId="0" borderId="0" xfId="0" applyNumberFormat="1" applyFont="1" applyFill="1" applyBorder="1"/>
    <xf numFmtId="4" fontId="41" fillId="0" borderId="0" xfId="0" applyNumberFormat="1" applyFont="1" applyFill="1" applyBorder="1" applyAlignment="1">
      <alignment horizont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67" fontId="41" fillId="0" borderId="0" xfId="0" applyNumberFormat="1" applyFont="1" applyFill="1" applyBorder="1" applyAlignment="1">
      <alignment horizontal="center" wrapText="1"/>
    </xf>
    <xf numFmtId="0" fontId="11" fillId="11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4" fontId="42" fillId="0" borderId="0" xfId="0" applyNumberFormat="1" applyFont="1" applyFill="1" applyBorder="1"/>
    <xf numFmtId="168" fontId="42" fillId="0" borderId="0" xfId="0" applyNumberFormat="1" applyFont="1" applyFill="1" applyBorder="1"/>
    <xf numFmtId="0" fontId="2" fillId="0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11" borderId="0" xfId="0" applyFont="1" applyFill="1" applyBorder="1" applyAlignment="1">
      <alignment vertical="center" wrapText="1"/>
    </xf>
    <xf numFmtId="0" fontId="39" fillId="9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left" vertical="center" wrapText="1"/>
    </xf>
    <xf numFmtId="0" fontId="39" fillId="5" borderId="0" xfId="0" applyFont="1" applyFill="1" applyBorder="1" applyAlignment="1">
      <alignment vertical="center" wrapText="1"/>
    </xf>
    <xf numFmtId="0" fontId="2" fillId="11" borderId="0" xfId="0" applyFont="1" applyFill="1" applyBorder="1"/>
    <xf numFmtId="0" fontId="12" fillId="0" borderId="3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3" fontId="12" fillId="3" borderId="2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horizontal="center" vertical="center" wrapText="1"/>
    </xf>
    <xf numFmtId="3" fontId="11" fillId="11" borderId="2" xfId="0" applyNumberFormat="1" applyFont="1" applyFill="1" applyBorder="1" applyAlignment="1">
      <alignment horizontal="center" vertical="center" wrapText="1"/>
    </xf>
    <xf numFmtId="4" fontId="37" fillId="12" borderId="2" xfId="0" applyNumberFormat="1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4" fontId="39" fillId="0" borderId="2" xfId="0" applyNumberFormat="1" applyFont="1" applyFill="1" applyBorder="1" applyAlignment="1">
      <alignment horizontal="center" vertical="center"/>
    </xf>
    <xf numFmtId="4" fontId="42" fillId="0" borderId="2" xfId="0" applyNumberFormat="1" applyFont="1" applyFill="1" applyBorder="1" applyAlignment="1">
      <alignment horizontal="center" vertical="center"/>
    </xf>
    <xf numFmtId="4" fontId="37" fillId="9" borderId="0" xfId="0" applyNumberFormat="1" applyFont="1" applyFill="1" applyBorder="1" applyAlignment="1">
      <alignment horizontal="center" vertical="center" wrapText="1"/>
    </xf>
    <xf numFmtId="4" fontId="39" fillId="0" borderId="2" xfId="0" applyNumberFormat="1" applyFont="1" applyFill="1" applyBorder="1" applyAlignment="1">
      <alignment horizontal="center" vertical="center" wrapText="1"/>
    </xf>
    <xf numFmtId="4" fontId="42" fillId="0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4" fontId="37" fillId="5" borderId="0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vertical="center"/>
    </xf>
    <xf numFmtId="3" fontId="11" fillId="11" borderId="0" xfId="0" applyNumberFormat="1" applyFont="1" applyFill="1" applyBorder="1" applyAlignment="1">
      <alignment horizontal="center" vertical="center"/>
    </xf>
    <xf numFmtId="4" fontId="39" fillId="0" borderId="0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4" fontId="39" fillId="9" borderId="0" xfId="0" applyNumberFormat="1" applyFont="1" applyFill="1" applyBorder="1" applyAlignment="1">
      <alignment horizontal="center" vertical="center" wrapText="1"/>
    </xf>
    <xf numFmtId="167" fontId="39" fillId="5" borderId="0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Fill="1" applyBorder="1" applyAlignment="1">
      <alignment vertical="center"/>
    </xf>
    <xf numFmtId="0" fontId="43" fillId="0" borderId="2" xfId="0" applyFont="1" applyFill="1" applyBorder="1" applyAlignment="1">
      <alignment vertical="center"/>
    </xf>
    <xf numFmtId="0" fontId="44" fillId="0" borderId="2" xfId="0" applyFont="1" applyFill="1" applyBorder="1" applyAlignment="1">
      <alignment vertical="center"/>
    </xf>
    <xf numFmtId="0" fontId="44" fillId="0" borderId="2" xfId="0" applyFont="1" applyFill="1" applyBorder="1" applyAlignment="1">
      <alignment horizontal="center" vertical="center"/>
    </xf>
    <xf numFmtId="171" fontId="44" fillId="0" borderId="2" xfId="0" applyNumberFormat="1" applyFont="1" applyFill="1" applyBorder="1" applyAlignment="1">
      <alignment vertical="center"/>
    </xf>
    <xf numFmtId="0" fontId="45" fillId="0" borderId="2" xfId="0" applyFont="1" applyFill="1" applyBorder="1" applyAlignment="1">
      <alignment horizontal="center" vertical="center"/>
    </xf>
    <xf numFmtId="172" fontId="45" fillId="0" borderId="2" xfId="0" applyNumberFormat="1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vertical="center" wrapText="1"/>
    </xf>
    <xf numFmtId="0" fontId="37" fillId="0" borderId="2" xfId="0" applyFont="1" applyFill="1" applyBorder="1" applyAlignment="1">
      <alignment vertical="center" wrapText="1"/>
    </xf>
    <xf numFmtId="3" fontId="37" fillId="0" borderId="2" xfId="0" applyNumberFormat="1" applyFont="1" applyFill="1" applyBorder="1" applyAlignment="1">
      <alignment horizontal="center" vertical="center" wrapText="1"/>
    </xf>
    <xf numFmtId="4" fontId="37" fillId="0" borderId="2" xfId="0" applyNumberFormat="1" applyFont="1" applyFill="1" applyBorder="1" applyAlignment="1">
      <alignment horizontal="center" vertical="center" wrapText="1"/>
    </xf>
    <xf numFmtId="4" fontId="46" fillId="0" borderId="0" xfId="0" applyNumberFormat="1" applyFont="1" applyFill="1" applyBorder="1" applyAlignment="1">
      <alignment horizontal="center" vertical="center" wrapText="1"/>
    </xf>
    <xf numFmtId="4" fontId="39" fillId="7" borderId="2" xfId="0" applyNumberFormat="1" applyFont="1" applyFill="1" applyBorder="1" applyAlignment="1">
      <alignment horizontal="center" vertical="center" wrapText="1"/>
    </xf>
    <xf numFmtId="4" fontId="39" fillId="4" borderId="2" xfId="0" applyNumberFormat="1" applyFont="1" applyFill="1" applyBorder="1" applyAlignment="1">
      <alignment horizontal="center" vertical="center" wrapText="1"/>
    </xf>
    <xf numFmtId="4" fontId="34" fillId="4" borderId="7" xfId="0" applyNumberFormat="1" applyFont="1" applyFill="1" applyBorder="1" applyAlignment="1">
      <alignment horizontal="center" vertical="center" wrapText="1"/>
    </xf>
    <xf numFmtId="4" fontId="46" fillId="0" borderId="2" xfId="0" applyNumberFormat="1" applyFont="1" applyFill="1" applyBorder="1" applyAlignment="1">
      <alignment horizontal="center" vertical="center" wrapText="1"/>
    </xf>
    <xf numFmtId="4" fontId="39" fillId="7" borderId="0" xfId="0" applyNumberFormat="1" applyFont="1" applyFill="1" applyBorder="1" applyAlignment="1">
      <alignment horizontal="center" vertical="center" wrapText="1"/>
    </xf>
    <xf numFmtId="0" fontId="11" fillId="13" borderId="0" xfId="0" applyFont="1" applyFill="1" applyBorder="1" applyAlignment="1">
      <alignment horizontal="center" vertical="center" wrapText="1"/>
    </xf>
    <xf numFmtId="3" fontId="39" fillId="11" borderId="0" xfId="0" applyNumberFormat="1" applyFont="1" applyFill="1" applyBorder="1" applyAlignment="1">
      <alignment horizontal="center" vertical="center"/>
    </xf>
    <xf numFmtId="4" fontId="39" fillId="7" borderId="0" xfId="0" applyNumberFormat="1" applyFont="1" applyFill="1" applyBorder="1" applyAlignment="1">
      <alignment vertical="center"/>
    </xf>
    <xf numFmtId="4" fontId="39" fillId="7" borderId="0" xfId="0" applyNumberFormat="1" applyFont="1" applyFill="1" applyBorder="1" applyAlignment="1">
      <alignment horizontal="center" vertical="center"/>
    </xf>
    <xf numFmtId="4" fontId="39" fillId="0" borderId="0" xfId="0" applyNumberFormat="1" applyFont="1" applyFill="1" applyBorder="1" applyAlignment="1">
      <alignment vertical="center"/>
    </xf>
    <xf numFmtId="169" fontId="39" fillId="7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center" wrapText="1"/>
    </xf>
    <xf numFmtId="4" fontId="48" fillId="0" borderId="3" xfId="0" applyNumberFormat="1" applyFont="1" applyFill="1" applyBorder="1" applyAlignment="1">
      <alignment vertical="center"/>
    </xf>
    <xf numFmtId="4" fontId="49" fillId="0" borderId="3" xfId="0" applyNumberFormat="1" applyFont="1" applyFill="1" applyBorder="1" applyAlignment="1">
      <alignment horizontal="center" vertical="center"/>
    </xf>
    <xf numFmtId="173" fontId="49" fillId="0" borderId="3" xfId="0" applyNumberFormat="1" applyFont="1" applyFill="1" applyBorder="1" applyAlignment="1">
      <alignment horizontal="center" vertical="center"/>
    </xf>
    <xf numFmtId="4" fontId="45" fillId="0" borderId="3" xfId="0" applyNumberFormat="1" applyFont="1" applyFill="1" applyBorder="1" applyAlignment="1">
      <alignment horizontal="center" vertical="center"/>
    </xf>
    <xf numFmtId="173" fontId="50" fillId="0" borderId="3" xfId="0" applyNumberFormat="1" applyFont="1" applyFill="1" applyBorder="1" applyAlignment="1">
      <alignment horizontal="center" vertical="center"/>
    </xf>
    <xf numFmtId="4" fontId="50" fillId="0" borderId="3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0" fontId="11" fillId="4" borderId="0" xfId="0" applyFont="1" applyFill="1" applyBorder="1" applyAlignment="1">
      <alignment horizontal="center" vertical="center" wrapText="1"/>
    </xf>
    <xf numFmtId="4" fontId="39" fillId="10" borderId="0" xfId="0" applyNumberFormat="1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39" fillId="0" borderId="2" xfId="0" applyNumberFormat="1" applyFont="1" applyFill="1" applyBorder="1" applyAlignment="1">
      <alignment vertical="center" wrapText="1"/>
    </xf>
    <xf numFmtId="4" fontId="39" fillId="7" borderId="2" xfId="0" applyNumberFormat="1" applyFont="1" applyFill="1" applyBorder="1" applyAlignment="1">
      <alignment vertical="center" wrapText="1"/>
    </xf>
    <xf numFmtId="4" fontId="39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/>
    <xf numFmtId="0" fontId="11" fillId="0" borderId="0" xfId="0" applyFont="1" applyFill="1" applyBorder="1"/>
    <xf numFmtId="4" fontId="11" fillId="0" borderId="0" xfId="0" applyNumberFormat="1" applyFont="1" applyFill="1" applyBorder="1" applyAlignment="1">
      <alignment vertical="center" wrapText="1"/>
    </xf>
    <xf numFmtId="4" fontId="11" fillId="0" borderId="2" xfId="0" applyNumberFormat="1" applyFont="1" applyFill="1" applyBorder="1" applyAlignment="1">
      <alignment vertical="center" wrapText="1"/>
    </xf>
    <xf numFmtId="1" fontId="12" fillId="0" borderId="2" xfId="0" applyNumberFormat="1" applyFont="1" applyFill="1" applyBorder="1" applyAlignment="1">
      <alignment horizontal="center" vertical="center" wrapText="1"/>
    </xf>
    <xf numFmtId="2" fontId="12" fillId="0" borderId="2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vertical="center" wrapText="1"/>
    </xf>
    <xf numFmtId="4" fontId="37" fillId="0" borderId="2" xfId="0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vertical="center" wrapText="1"/>
    </xf>
    <xf numFmtId="4" fontId="37" fillId="3" borderId="2" xfId="0" applyNumberFormat="1" applyFont="1" applyFill="1" applyBorder="1" applyAlignment="1">
      <alignment horizontal="center" vertical="center" wrapText="1"/>
    </xf>
    <xf numFmtId="4" fontId="3" fillId="3" borderId="0" xfId="0" applyNumberFormat="1" applyFont="1" applyFill="1" applyBorder="1" applyAlignment="1">
      <alignment horizontal="center" vertical="center" wrapText="1"/>
    </xf>
    <xf numFmtId="4" fontId="39" fillId="3" borderId="2" xfId="0" applyNumberFormat="1" applyFont="1" applyFill="1" applyBorder="1" applyAlignment="1">
      <alignment vertical="center" wrapText="1"/>
    </xf>
    <xf numFmtId="4" fontId="39" fillId="16" borderId="2" xfId="0" applyNumberFormat="1" applyFont="1" applyFill="1" applyBorder="1" applyAlignment="1">
      <alignment horizontal="center" vertical="center" wrapText="1"/>
    </xf>
    <xf numFmtId="4" fontId="39" fillId="3" borderId="0" xfId="0" applyNumberFormat="1" applyFont="1" applyFill="1" applyBorder="1" applyAlignment="1">
      <alignment vertical="center" wrapText="1"/>
    </xf>
    <xf numFmtId="4" fontId="39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vertical="center" wrapText="1"/>
    </xf>
    <xf numFmtId="0" fontId="39" fillId="0" borderId="0" xfId="0" applyFont="1" applyFill="1" applyBorder="1" applyAlignment="1">
      <alignment horizontal="center"/>
    </xf>
    <xf numFmtId="0" fontId="54" fillId="0" borderId="2" xfId="0" applyFont="1" applyFill="1" applyBorder="1" applyAlignment="1">
      <alignment vertical="center" wrapText="1"/>
    </xf>
    <xf numFmtId="0" fontId="54" fillId="0" borderId="0" xfId="0" applyFont="1" applyFill="1" applyBorder="1" applyAlignment="1">
      <alignment vertical="center" wrapText="1"/>
    </xf>
    <xf numFmtId="4" fontId="54" fillId="0" borderId="5" xfId="0" applyNumberFormat="1" applyFont="1" applyFill="1" applyBorder="1" applyAlignment="1">
      <alignment horizontal="center" vertical="center" wrapText="1"/>
    </xf>
    <xf numFmtId="4" fontId="54" fillId="0" borderId="0" xfId="0" applyNumberFormat="1" applyFont="1" applyFill="1" applyBorder="1" applyAlignment="1">
      <alignment horizontal="left" vertical="center" wrapText="1"/>
    </xf>
    <xf numFmtId="4" fontId="54" fillId="0" borderId="0" xfId="0" applyNumberFormat="1" applyFont="1" applyFill="1" applyBorder="1" applyAlignment="1">
      <alignment horizontal="center" vertical="center" wrapText="1"/>
    </xf>
    <xf numFmtId="0" fontId="11" fillId="15" borderId="0" xfId="0" applyFont="1" applyFill="1" applyBorder="1" applyAlignment="1">
      <alignment vertical="center" wrapText="1"/>
    </xf>
    <xf numFmtId="4" fontId="39" fillId="15" borderId="0" xfId="0" applyNumberFormat="1" applyFont="1" applyFill="1" applyBorder="1" applyAlignment="1">
      <alignment horizontal="center"/>
    </xf>
    <xf numFmtId="4" fontId="11" fillId="7" borderId="0" xfId="0" applyNumberFormat="1" applyFont="1" applyFill="1" applyBorder="1" applyAlignment="1">
      <alignment horizontal="center" vertical="center"/>
    </xf>
    <xf numFmtId="4" fontId="40" fillId="10" borderId="0" xfId="0" applyNumberFormat="1" applyFont="1" applyFill="1" applyBorder="1" applyAlignment="1">
      <alignment horizontal="center" vertical="center"/>
    </xf>
    <xf numFmtId="167" fontId="11" fillId="17" borderId="0" xfId="0" applyNumberFormat="1" applyFont="1" applyFill="1" applyBorder="1"/>
    <xf numFmtId="167" fontId="11" fillId="0" borderId="0" xfId="0" applyNumberFormat="1" applyFont="1" applyFill="1" applyBorder="1"/>
    <xf numFmtId="0" fontId="11" fillId="0" borderId="0" xfId="0" applyFont="1" applyFill="1" applyBorder="1" applyAlignment="1">
      <alignment wrapText="1"/>
    </xf>
    <xf numFmtId="4" fontId="11" fillId="0" borderId="0" xfId="0" applyNumberFormat="1" applyFont="1" applyFill="1" applyBorder="1" applyAlignment="1">
      <alignment horizontal="center" vertical="top"/>
    </xf>
    <xf numFmtId="0" fontId="11" fillId="7" borderId="0" xfId="0" applyFont="1" applyFill="1" applyBorder="1" applyAlignment="1">
      <alignment horizontal="center" vertical="center" wrapText="1"/>
    </xf>
    <xf numFmtId="4" fontId="40" fillId="10" borderId="0" xfId="0" applyNumberFormat="1" applyFont="1" applyFill="1" applyBorder="1" applyAlignment="1">
      <alignment horizontal="center"/>
    </xf>
    <xf numFmtId="167" fontId="11" fillId="0" borderId="0" xfId="0" applyNumberFormat="1" applyFont="1" applyFill="1" applyBorder="1" applyAlignment="1">
      <alignment vertical="center"/>
    </xf>
    <xf numFmtId="167" fontId="11" fillId="17" borderId="0" xfId="0" applyNumberFormat="1" applyFont="1" applyFill="1" applyBorder="1" applyAlignment="1">
      <alignment vertical="center"/>
    </xf>
    <xf numFmtId="0" fontId="34" fillId="0" borderId="0" xfId="0" applyFont="1" applyFill="1" applyBorder="1" applyAlignment="1">
      <alignment wrapText="1"/>
    </xf>
    <xf numFmtId="0" fontId="39" fillId="0" borderId="3" xfId="0" applyFont="1" applyFill="1" applyBorder="1" applyAlignment="1">
      <alignment vertical="center" wrapText="1"/>
    </xf>
    <xf numFmtId="0" fontId="11" fillId="7" borderId="0" xfId="0" applyFont="1" applyFill="1" applyBorder="1" applyAlignment="1">
      <alignment vertical="center" wrapText="1"/>
    </xf>
    <xf numFmtId="4" fontId="39" fillId="7" borderId="0" xfId="0" applyNumberFormat="1" applyFont="1" applyFill="1" applyBorder="1" applyAlignment="1">
      <alignment horizontal="center"/>
    </xf>
    <xf numFmtId="167" fontId="39" fillId="0" borderId="2" xfId="0" applyNumberFormat="1" applyFont="1" applyFill="1" applyBorder="1" applyAlignment="1">
      <alignment horizontal="right" vertical="center"/>
    </xf>
    <xf numFmtId="4" fontId="37" fillId="0" borderId="0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right"/>
    </xf>
    <xf numFmtId="4" fontId="11" fillId="0" borderId="2" xfId="0" applyNumberFormat="1" applyFont="1" applyFill="1" applyBorder="1" applyAlignment="1">
      <alignment horizontal="center"/>
    </xf>
    <xf numFmtId="4" fontId="39" fillId="5" borderId="0" xfId="0" applyNumberFormat="1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vertical="center" wrapText="1"/>
    </xf>
    <xf numFmtId="4" fontId="39" fillId="5" borderId="0" xfId="0" applyNumberFormat="1" applyFont="1" applyFill="1" applyBorder="1" applyAlignment="1">
      <alignment horizontal="center"/>
    </xf>
    <xf numFmtId="4" fontId="39" fillId="7" borderId="0" xfId="0" applyNumberFormat="1" applyFont="1" applyFill="1" applyBorder="1"/>
    <xf numFmtId="4" fontId="11" fillId="0" borderId="2" xfId="0" applyNumberFormat="1" applyFont="1" applyFill="1" applyBorder="1" applyAlignment="1">
      <alignment horizontal="right"/>
    </xf>
    <xf numFmtId="4" fontId="39" fillId="0" borderId="2" xfId="0" applyNumberFormat="1" applyFont="1" applyFill="1" applyBorder="1" applyAlignment="1">
      <alignment horizontal="center"/>
    </xf>
    <xf numFmtId="4" fontId="11" fillId="9" borderId="0" xfId="0" applyNumberFormat="1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right"/>
    </xf>
    <xf numFmtId="4" fontId="12" fillId="9" borderId="0" xfId="0" applyNumberFormat="1" applyFont="1" applyFill="1" applyBorder="1"/>
    <xf numFmtId="0" fontId="13" fillId="0" borderId="0" xfId="0" applyFont="1" applyAlignment="1">
      <alignment wrapText="1"/>
    </xf>
    <xf numFmtId="2" fontId="14" fillId="0" borderId="0" xfId="0" applyNumberFormat="1" applyFont="1" applyFill="1" applyAlignment="1">
      <alignment wrapText="1"/>
    </xf>
    <xf numFmtId="0" fontId="3" fillId="0" borderId="4" xfId="0" applyFont="1" applyFill="1" applyBorder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/>
    </xf>
    <xf numFmtId="4" fontId="17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20" fillId="3" borderId="0" xfId="0" applyFont="1" applyFill="1" applyBorder="1" applyAlignment="1">
      <alignment vertical="top"/>
    </xf>
    <xf numFmtId="0" fontId="20" fillId="0" borderId="2" xfId="0" applyFont="1" applyFill="1" applyBorder="1" applyAlignment="1">
      <alignment horizontal="left" vertical="center" wrapText="1"/>
    </xf>
    <xf numFmtId="0" fontId="22" fillId="0" borderId="0" xfId="0" applyFont="1" applyFill="1"/>
    <xf numFmtId="4" fontId="22" fillId="0" borderId="0" xfId="0" applyNumberFormat="1" applyFont="1" applyFill="1"/>
    <xf numFmtId="4" fontId="22" fillId="0" borderId="0" xfId="0" applyNumberFormat="1" applyFont="1" applyAlignment="1">
      <alignment vertical="center"/>
    </xf>
    <xf numFmtId="0" fontId="20" fillId="0" borderId="2" xfId="0" applyFont="1" applyFill="1" applyBorder="1" applyAlignment="1">
      <alignment vertical="center" wrapText="1"/>
    </xf>
    <xf numFmtId="4" fontId="42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/>
    <xf numFmtId="4" fontId="55" fillId="0" borderId="0" xfId="0" applyNumberFormat="1" applyFont="1" applyFill="1" applyBorder="1" applyAlignment="1">
      <alignment horizontal="center" vertical="center"/>
    </xf>
    <xf numFmtId="4" fontId="56" fillId="0" borderId="0" xfId="0" applyNumberFormat="1" applyFont="1" applyFill="1" applyBorder="1" applyAlignment="1">
      <alignment horizontal="center" vertical="center" wrapText="1"/>
    </xf>
    <xf numFmtId="4" fontId="56" fillId="0" borderId="0" xfId="0" applyNumberFormat="1" applyFont="1" applyFill="1" applyBorder="1" applyAlignment="1">
      <alignment vertical="center" wrapText="1"/>
    </xf>
    <xf numFmtId="4" fontId="55" fillId="0" borderId="0" xfId="0" applyNumberFormat="1" applyFont="1" applyFill="1" applyBorder="1" applyAlignment="1">
      <alignment horizontal="center" vertical="center" wrapText="1"/>
    </xf>
    <xf numFmtId="0" fontId="39" fillId="9" borderId="2" xfId="0" applyFont="1" applyFill="1" applyBorder="1" applyAlignment="1">
      <alignment vertical="center" wrapText="1"/>
    </xf>
    <xf numFmtId="4" fontId="37" fillId="9" borderId="2" xfId="0" applyNumberFormat="1" applyFont="1" applyFill="1" applyBorder="1" applyAlignment="1">
      <alignment horizontal="center" vertical="center"/>
    </xf>
    <xf numFmtId="4" fontId="37" fillId="9" borderId="2" xfId="0" applyNumberFormat="1" applyFont="1" applyFill="1" applyBorder="1" applyAlignment="1">
      <alignment horizontal="center" vertical="center" wrapText="1"/>
    </xf>
    <xf numFmtId="0" fontId="39" fillId="4" borderId="2" xfId="0" applyFont="1" applyFill="1" applyBorder="1" applyAlignment="1">
      <alignment vertical="center" wrapText="1"/>
    </xf>
    <xf numFmtId="4" fontId="37" fillId="4" borderId="2" xfId="0" applyNumberFormat="1" applyFont="1" applyFill="1" applyBorder="1" applyAlignment="1">
      <alignment horizontal="center" vertical="center"/>
    </xf>
    <xf numFmtId="4" fontId="34" fillId="0" borderId="2" xfId="0" applyNumberFormat="1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vertical="center" wrapText="1"/>
    </xf>
    <xf numFmtId="170" fontId="39" fillId="9" borderId="2" xfId="0" applyNumberFormat="1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/>
    </xf>
    <xf numFmtId="0" fontId="57" fillId="0" borderId="2" xfId="0" applyFont="1" applyFill="1" applyBorder="1" applyAlignment="1">
      <alignment horizontal="center" vertical="center" wrapText="1"/>
    </xf>
    <xf numFmtId="4" fontId="28" fillId="3" borderId="2" xfId="0" applyNumberFormat="1" applyFont="1" applyFill="1" applyBorder="1" applyAlignment="1">
      <alignment horizontal="center" vertical="center"/>
    </xf>
    <xf numFmtId="3" fontId="28" fillId="3" borderId="2" xfId="3" applyNumberFormat="1" applyFont="1" applyFill="1" applyBorder="1" applyAlignment="1">
      <alignment horizontal="center" vertical="center"/>
    </xf>
    <xf numFmtId="4" fontId="29" fillId="0" borderId="2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17" fillId="0" borderId="7" xfId="0" applyFont="1" applyBorder="1" applyAlignment="1"/>
    <xf numFmtId="2" fontId="13" fillId="0" borderId="0" xfId="0" applyNumberFormat="1" applyFont="1" applyAlignment="1">
      <alignment wrapText="1"/>
    </xf>
    <xf numFmtId="0" fontId="13" fillId="0" borderId="0" xfId="0" applyFont="1" applyAlignment="1">
      <alignment vertical="top"/>
    </xf>
    <xf numFmtId="0" fontId="4" fillId="0" borderId="2" xfId="0" applyFont="1" applyFill="1" applyBorder="1" applyAlignment="1">
      <alignment horizontal="center" vertical="center" wrapText="1" readingOrder="1"/>
    </xf>
    <xf numFmtId="2" fontId="13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 vertical="top"/>
    </xf>
    <xf numFmtId="0" fontId="4" fillId="0" borderId="7" xfId="0" applyFont="1" applyFill="1" applyBorder="1" applyAlignment="1">
      <alignment horizontal="center" vertical="center" wrapText="1" readingOrder="1"/>
    </xf>
    <xf numFmtId="0" fontId="4" fillId="0" borderId="6" xfId="0" applyFont="1" applyFill="1" applyBorder="1" applyAlignment="1">
      <alignment horizontal="center" vertical="center" wrapText="1" readingOrder="1"/>
    </xf>
    <xf numFmtId="0" fontId="15" fillId="3" borderId="3" xfId="0" applyFont="1" applyFill="1" applyBorder="1" applyAlignment="1">
      <alignment horizontal="center" vertical="center" wrapText="1" readingOrder="1"/>
    </xf>
    <xf numFmtId="0" fontId="15" fillId="3" borderId="5" xfId="0" applyFont="1" applyFill="1" applyBorder="1" applyAlignment="1">
      <alignment horizontal="center" vertical="center" wrapText="1" readingOrder="1"/>
    </xf>
    <xf numFmtId="0" fontId="7" fillId="0" borderId="6" xfId="2" applyFont="1" applyFill="1" applyBorder="1" applyAlignment="1">
      <alignment horizontal="center" vertical="center" wrapText="1" readingOrder="1"/>
    </xf>
    <xf numFmtId="2" fontId="14" fillId="0" borderId="0" xfId="0" applyNumberFormat="1" applyFont="1" applyAlignment="1">
      <alignment horizontal="center" wrapText="1"/>
    </xf>
    <xf numFmtId="49" fontId="4" fillId="0" borderId="8" xfId="0" applyNumberFormat="1" applyFont="1" applyFill="1" applyBorder="1" applyAlignment="1">
      <alignment horizontal="center" vertical="center" wrapText="1" readingOrder="1"/>
    </xf>
    <xf numFmtId="0" fontId="21" fillId="0" borderId="2" xfId="0" applyFont="1" applyFill="1" applyBorder="1" applyAlignment="1">
      <alignment horizontal="center" vertical="center" wrapText="1"/>
    </xf>
    <xf numFmtId="0" fontId="17" fillId="11" borderId="5" xfId="2" applyFont="1" applyFill="1" applyBorder="1" applyAlignment="1">
      <alignment horizontal="center" vertical="center" wrapText="1"/>
    </xf>
    <xf numFmtId="0" fontId="20" fillId="11" borderId="5" xfId="1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 vertical="center" wrapText="1" readingOrder="1"/>
    </xf>
    <xf numFmtId="4" fontId="2" fillId="11" borderId="2" xfId="0" applyNumberFormat="1" applyFont="1" applyFill="1" applyBorder="1" applyAlignment="1">
      <alignment horizontal="center" vertical="center" wrapText="1" readingOrder="1"/>
    </xf>
    <xf numFmtId="4" fontId="3" fillId="11" borderId="2" xfId="0" applyNumberFormat="1" applyFont="1" applyFill="1" applyBorder="1" applyAlignment="1">
      <alignment horizontal="center" vertical="center" wrapText="1" readingOrder="1"/>
    </xf>
    <xf numFmtId="0" fontId="20" fillId="4" borderId="2" xfId="0" applyFont="1" applyFill="1" applyBorder="1" applyAlignment="1">
      <alignment horizontal="center" vertical="center" wrapText="1"/>
    </xf>
    <xf numFmtId="4" fontId="2" fillId="4" borderId="2" xfId="0" applyNumberFormat="1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readingOrder="1"/>
    </xf>
    <xf numFmtId="2" fontId="14" fillId="0" borderId="0" xfId="0" applyNumberFormat="1" applyFont="1" applyAlignment="1">
      <alignment horizont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horizontal="center" vertical="top"/>
    </xf>
    <xf numFmtId="0" fontId="20" fillId="3" borderId="2" xfId="3" applyFont="1" applyFill="1" applyBorder="1" applyAlignment="1">
      <alignment horizontal="center" vertical="center" wrapText="1"/>
    </xf>
    <xf numFmtId="0" fontId="20" fillId="0" borderId="2" xfId="3" applyFont="1" applyFill="1" applyBorder="1" applyAlignment="1">
      <alignment horizontal="center" vertical="center" wrapText="1"/>
    </xf>
    <xf numFmtId="4" fontId="29" fillId="3" borderId="2" xfId="3" applyNumberFormat="1" applyFont="1" applyFill="1" applyBorder="1" applyAlignment="1">
      <alignment horizontal="center" vertical="center"/>
    </xf>
    <xf numFmtId="0" fontId="2" fillId="4" borderId="2" xfId="3" applyFont="1" applyFill="1" applyBorder="1" applyAlignment="1">
      <alignment horizontal="center" vertical="center"/>
    </xf>
    <xf numFmtId="3" fontId="2" fillId="4" borderId="2" xfId="3" applyNumberFormat="1" applyFont="1" applyFill="1" applyBorder="1" applyAlignment="1">
      <alignment horizontal="center" vertical="center"/>
    </xf>
    <xf numFmtId="4" fontId="2" fillId="4" borderId="2" xfId="3" applyNumberFormat="1" applyFont="1" applyFill="1" applyBorder="1" applyAlignment="1">
      <alignment horizontal="center" vertical="center"/>
    </xf>
    <xf numFmtId="0" fontId="2" fillId="4" borderId="0" xfId="3" applyFont="1" applyFill="1"/>
    <xf numFmtId="0" fontId="2" fillId="4" borderId="2" xfId="3" applyFont="1" applyFill="1" applyBorder="1" applyAlignment="1">
      <alignment horizontal="center" vertical="center" wrapText="1"/>
    </xf>
    <xf numFmtId="169" fontId="39" fillId="10" borderId="2" xfId="0" applyNumberFormat="1" applyFont="1" applyFill="1" applyBorder="1" applyAlignment="1">
      <alignment horizontal="center" vertical="center" wrapText="1"/>
    </xf>
    <xf numFmtId="4" fontId="42" fillId="10" borderId="2" xfId="0" applyNumberFormat="1" applyFont="1" applyFill="1" applyBorder="1" applyAlignment="1">
      <alignment horizontal="center" vertical="center" wrapText="1"/>
    </xf>
    <xf numFmtId="4" fontId="11" fillId="1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4" fontId="4" fillId="0" borderId="2" xfId="0" applyNumberFormat="1" applyFont="1" applyFill="1" applyBorder="1" applyAlignment="1">
      <alignment horizontal="center" wrapText="1"/>
    </xf>
    <xf numFmtId="4" fontId="8" fillId="0" borderId="0" xfId="0" applyNumberFormat="1" applyFont="1" applyFill="1" applyBorder="1" applyAlignment="1">
      <alignment horizont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4" fontId="7" fillId="0" borderId="2" xfId="0" applyNumberFormat="1" applyFont="1" applyFill="1" applyBorder="1" applyAlignment="1">
      <alignment horizontal="center"/>
    </xf>
    <xf numFmtId="4" fontId="9" fillId="0" borderId="2" xfId="0" applyNumberFormat="1" applyFont="1" applyFill="1" applyBorder="1" applyAlignment="1">
      <alignment horizontal="center"/>
    </xf>
    <xf numFmtId="4" fontId="7" fillId="3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4" fontId="3" fillId="0" borderId="2" xfId="0" applyNumberFormat="1" applyFont="1" applyFill="1" applyBorder="1" applyAlignment="1">
      <alignment horizontal="center"/>
    </xf>
    <xf numFmtId="0" fontId="7" fillId="19" borderId="2" xfId="0" applyFont="1" applyFill="1" applyBorder="1" applyAlignment="1">
      <alignment horizontal="center" vertical="center"/>
    </xf>
    <xf numFmtId="4" fontId="7" fillId="19" borderId="2" xfId="0" applyNumberFormat="1" applyFont="1" applyFill="1" applyBorder="1" applyAlignment="1">
      <alignment horizontal="center" vertical="center"/>
    </xf>
    <xf numFmtId="4" fontId="2" fillId="19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4" fontId="9" fillId="3" borderId="2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" fontId="3" fillId="3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7" fillId="0" borderId="2" xfId="2" applyFont="1" applyFill="1" applyBorder="1" applyAlignment="1">
      <alignment horizontal="center" wrapText="1"/>
    </xf>
    <xf numFmtId="0" fontId="7" fillId="0" borderId="5" xfId="2" applyFont="1" applyFill="1" applyBorder="1" applyAlignment="1">
      <alignment horizont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3" fontId="7" fillId="3" borderId="2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3" fontId="28" fillId="0" borderId="2" xfId="0" applyNumberFormat="1" applyFont="1" applyFill="1" applyBorder="1" applyAlignment="1">
      <alignment horizontal="center" vertical="center"/>
    </xf>
    <xf numFmtId="4" fontId="9" fillId="3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19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4" fontId="2" fillId="18" borderId="2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4" fontId="11" fillId="3" borderId="2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3" fontId="28" fillId="3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3" fontId="28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wrapText="1"/>
    </xf>
    <xf numFmtId="0" fontId="13" fillId="0" borderId="0" xfId="0" applyFont="1"/>
    <xf numFmtId="0" fontId="13" fillId="0" borderId="0" xfId="0" applyFont="1" applyAlignment="1">
      <alignment horizontal="center" wrapText="1"/>
    </xf>
    <xf numFmtId="4" fontId="28" fillId="0" borderId="2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4" fontId="41" fillId="0" borderId="0" xfId="0" applyNumberFormat="1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wrapText="1"/>
    </xf>
    <xf numFmtId="167" fontId="39" fillId="3" borderId="0" xfId="0" applyNumberFormat="1" applyFont="1" applyFill="1" applyBorder="1" applyAlignment="1">
      <alignment vertical="center" wrapText="1"/>
    </xf>
    <xf numFmtId="168" fontId="39" fillId="0" borderId="0" xfId="0" applyNumberFormat="1" applyFont="1" applyFill="1" applyBorder="1" applyAlignment="1">
      <alignment horizontal="center"/>
    </xf>
    <xf numFmtId="4" fontId="39" fillId="19" borderId="0" xfId="0" applyNumberFormat="1" applyFont="1" applyFill="1" applyBorder="1" applyAlignment="1">
      <alignment vertical="center" wrapText="1"/>
    </xf>
    <xf numFmtId="0" fontId="11" fillId="19" borderId="0" xfId="0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4" fontId="39" fillId="20" borderId="0" xfId="0" applyNumberFormat="1" applyFont="1" applyFill="1" applyBorder="1" applyAlignment="1">
      <alignment vertical="center" wrapText="1"/>
    </xf>
    <xf numFmtId="3" fontId="39" fillId="20" borderId="0" xfId="0" applyNumberFormat="1" applyFont="1" applyFill="1" applyBorder="1" applyAlignment="1">
      <alignment horizontal="center" vertical="center" wrapText="1"/>
    </xf>
    <xf numFmtId="0" fontId="39" fillId="19" borderId="0" xfId="0" applyFont="1" applyFill="1" applyBorder="1" applyAlignment="1">
      <alignment horizontal="center" vertical="center"/>
    </xf>
    <xf numFmtId="3" fontId="56" fillId="0" borderId="0" xfId="0" applyNumberFormat="1" applyFont="1" applyFill="1" applyBorder="1" applyAlignment="1">
      <alignment horizontal="center" vertical="center" wrapText="1"/>
    </xf>
    <xf numFmtId="4" fontId="39" fillId="20" borderId="0" xfId="0" applyNumberFormat="1" applyFont="1" applyFill="1" applyBorder="1" applyAlignment="1">
      <alignment horizontal="center"/>
    </xf>
    <xf numFmtId="168" fontId="54" fillId="0" borderId="0" xfId="0" applyNumberFormat="1" applyFont="1" applyFill="1" applyBorder="1" applyAlignment="1">
      <alignment horizontal="center" vertical="center" wrapText="1"/>
    </xf>
    <xf numFmtId="4" fontId="39" fillId="16" borderId="2" xfId="0" applyNumberFormat="1" applyFont="1" applyFill="1" applyBorder="1" applyAlignment="1">
      <alignment vertical="center" wrapText="1"/>
    </xf>
    <xf numFmtId="3" fontId="39" fillId="16" borderId="2" xfId="0" applyNumberFormat="1" applyFont="1" applyFill="1" applyBorder="1" applyAlignment="1">
      <alignment horizontal="center" vertical="center" wrapText="1"/>
    </xf>
    <xf numFmtId="4" fontId="39" fillId="16" borderId="2" xfId="0" applyNumberFormat="1" applyFont="1" applyFill="1" applyBorder="1" applyAlignment="1">
      <alignment horizontal="center" vertical="center"/>
    </xf>
    <xf numFmtId="3" fontId="39" fillId="16" borderId="2" xfId="0" applyNumberFormat="1" applyFont="1" applyFill="1" applyBorder="1" applyAlignment="1">
      <alignment horizontal="center" vertical="center"/>
    </xf>
    <xf numFmtId="0" fontId="39" fillId="16" borderId="2" xfId="0" applyFont="1" applyFill="1" applyBorder="1" applyAlignment="1">
      <alignment vertical="center" wrapText="1"/>
    </xf>
    <xf numFmtId="3" fontId="54" fillId="16" borderId="2" xfId="0" applyNumberFormat="1" applyFont="1" applyFill="1" applyBorder="1" applyAlignment="1">
      <alignment horizontal="center" vertical="center" wrapText="1"/>
    </xf>
    <xf numFmtId="3" fontId="42" fillId="0" borderId="0" xfId="0" applyNumberFormat="1" applyFont="1" applyFill="1" applyBorder="1" applyAlignment="1">
      <alignment horizontal="left" vertical="center" wrapText="1"/>
    </xf>
    <xf numFmtId="167" fontId="11" fillId="0" borderId="0" xfId="0" applyNumberFormat="1" applyFont="1" applyFill="1" applyBorder="1" applyAlignment="1">
      <alignment horizontal="center" vertical="center" wrapText="1"/>
    </xf>
    <xf numFmtId="174" fontId="11" fillId="0" borderId="0" xfId="0" applyNumberFormat="1" applyFont="1" applyFill="1" applyBorder="1" applyAlignment="1">
      <alignment horizontal="center" vertical="center" wrapText="1"/>
    </xf>
    <xf numFmtId="174" fontId="39" fillId="0" borderId="0" xfId="0" applyNumberFormat="1" applyFont="1" applyFill="1" applyBorder="1" applyAlignment="1">
      <alignment horizontal="center" vertical="center" wrapText="1"/>
    </xf>
    <xf numFmtId="170" fontId="46" fillId="0" borderId="0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1" fillId="3" borderId="0" xfId="0" applyFont="1" applyFill="1" applyBorder="1"/>
    <xf numFmtId="4" fontId="28" fillId="0" borderId="2" xfId="0" applyNumberFormat="1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vertical="center"/>
    </xf>
    <xf numFmtId="0" fontId="2" fillId="16" borderId="2" xfId="3" applyFont="1" applyFill="1" applyBorder="1" applyAlignment="1">
      <alignment horizontal="center" vertical="center" wrapText="1"/>
    </xf>
    <xf numFmtId="0" fontId="2" fillId="16" borderId="2" xfId="3" applyFont="1" applyFill="1" applyBorder="1" applyAlignment="1">
      <alignment horizontal="center" vertical="center"/>
    </xf>
    <xf numFmtId="4" fontId="28" fillId="0" borderId="2" xfId="0" applyNumberFormat="1" applyFont="1" applyFill="1" applyBorder="1" applyAlignment="1">
      <alignment horizontal="center"/>
    </xf>
    <xf numFmtId="0" fontId="2" fillId="7" borderId="2" xfId="3" applyFont="1" applyFill="1" applyBorder="1" applyAlignment="1">
      <alignment horizontal="center" vertical="center"/>
    </xf>
    <xf numFmtId="4" fontId="28" fillId="3" borderId="2" xfId="0" applyNumberFormat="1" applyFont="1" applyFill="1" applyBorder="1" applyAlignment="1">
      <alignment horizontal="center"/>
    </xf>
    <xf numFmtId="2" fontId="11" fillId="0" borderId="0" xfId="0" applyNumberFormat="1" applyFont="1" applyFill="1" applyBorder="1" applyAlignment="1">
      <alignment horizontal="center" wrapText="1"/>
    </xf>
    <xf numFmtId="4" fontId="39" fillId="0" borderId="0" xfId="0" applyNumberFormat="1" applyFont="1" applyFill="1" applyBorder="1" applyAlignment="1">
      <alignment horizontal="center" wrapText="1"/>
    </xf>
    <xf numFmtId="169" fontId="39" fillId="0" borderId="0" xfId="0" applyNumberFormat="1" applyFont="1" applyFill="1" applyBorder="1"/>
    <xf numFmtId="0" fontId="39" fillId="0" borderId="0" xfId="0" applyFont="1" applyFill="1" applyBorder="1" applyAlignment="1">
      <alignment horizontal="center" wrapText="1"/>
    </xf>
    <xf numFmtId="4" fontId="39" fillId="0" borderId="0" xfId="0" applyNumberFormat="1" applyFont="1" applyFill="1" applyBorder="1"/>
    <xf numFmtId="174" fontId="11" fillId="0" borderId="0" xfId="0" applyNumberFormat="1" applyFont="1" applyFill="1" applyBorder="1"/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" fontId="38" fillId="10" borderId="0" xfId="0" applyNumberFormat="1" applyFont="1" applyFill="1" applyAlignment="1">
      <alignment horizontal="center"/>
    </xf>
    <xf numFmtId="4" fontId="4" fillId="0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/>
    </xf>
    <xf numFmtId="4" fontId="52" fillId="0" borderId="0" xfId="0" applyNumberFormat="1" applyFont="1" applyFill="1" applyBorder="1" applyAlignment="1">
      <alignment horizontal="center" vertical="center" wrapText="1"/>
    </xf>
    <xf numFmtId="4" fontId="39" fillId="3" borderId="0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3" fontId="39" fillId="0" borderId="2" xfId="0" applyNumberFormat="1" applyFont="1" applyFill="1" applyBorder="1" applyAlignment="1">
      <alignment horizontal="center" vertical="center" wrapText="1"/>
    </xf>
    <xf numFmtId="3" fontId="39" fillId="4" borderId="2" xfId="0" applyNumberFormat="1" applyFont="1" applyFill="1" applyBorder="1" applyAlignment="1">
      <alignment horizontal="center" vertical="center" wrapText="1"/>
    </xf>
    <xf numFmtId="4" fontId="11" fillId="12" borderId="2" xfId="0" applyNumberFormat="1" applyFont="1" applyFill="1" applyBorder="1" applyAlignment="1">
      <alignment horizontal="center" vertical="center" wrapText="1"/>
    </xf>
    <xf numFmtId="4" fontId="11" fillId="9" borderId="2" xfId="0" applyNumberFormat="1" applyFont="1" applyFill="1" applyBorder="1" applyAlignment="1">
      <alignment horizontal="center" vertical="center" wrapText="1"/>
    </xf>
    <xf numFmtId="4" fontId="11" fillId="11" borderId="2" xfId="0" applyNumberFormat="1" applyFont="1" applyFill="1" applyBorder="1" applyAlignment="1">
      <alignment horizontal="center" vertical="center" wrapText="1"/>
    </xf>
    <xf numFmtId="3" fontId="11" fillId="4" borderId="2" xfId="0" applyNumberFormat="1" applyFont="1" applyFill="1" applyBorder="1" applyAlignment="1">
      <alignment horizontal="center" vertical="center" wrapText="1"/>
    </xf>
    <xf numFmtId="0" fontId="39" fillId="11" borderId="0" xfId="0" applyFont="1" applyFill="1" applyBorder="1" applyAlignment="1">
      <alignment horizontal="center"/>
    </xf>
    <xf numFmtId="0" fontId="11" fillId="11" borderId="0" xfId="0" applyFont="1" applyFill="1" applyBorder="1" applyAlignment="1">
      <alignment horizontal="center"/>
    </xf>
    <xf numFmtId="0" fontId="2" fillId="0" borderId="0" xfId="0" applyFont="1" applyFill="1"/>
    <xf numFmtId="4" fontId="41" fillId="0" borderId="2" xfId="0" applyNumberFormat="1" applyFont="1" applyFill="1" applyBorder="1"/>
    <xf numFmtId="0" fontId="11" fillId="0" borderId="2" xfId="0" applyFont="1" applyFill="1" applyBorder="1" applyAlignment="1">
      <alignment horizontal="center"/>
    </xf>
    <xf numFmtId="4" fontId="11" fillId="0" borderId="2" xfId="0" applyNumberFormat="1" applyFont="1" applyFill="1" applyBorder="1" applyAlignment="1">
      <alignment horizontal="left" vertical="center" wrapText="1"/>
    </xf>
    <xf numFmtId="4" fontId="11" fillId="4" borderId="2" xfId="0" applyNumberFormat="1" applyFont="1" applyFill="1" applyBorder="1" applyAlignment="1">
      <alignment horizontal="left" vertical="center" wrapText="1"/>
    </xf>
    <xf numFmtId="4" fontId="53" fillId="0" borderId="2" xfId="0" applyNumberFormat="1" applyFont="1" applyFill="1" applyBorder="1" applyAlignment="1">
      <alignment horizontal="left" vertical="center" wrapText="1"/>
    </xf>
    <xf numFmtId="4" fontId="60" fillId="0" borderId="2" xfId="0" applyNumberFormat="1" applyFont="1" applyFill="1" applyBorder="1" applyAlignment="1">
      <alignment horizontal="left" vertical="center" wrapText="1"/>
    </xf>
    <xf numFmtId="4" fontId="23" fillId="0" borderId="0" xfId="0" applyNumberFormat="1" applyFont="1" applyFill="1" applyBorder="1" applyAlignment="1">
      <alignment horizontal="left" vertical="center" wrapText="1"/>
    </xf>
    <xf numFmtId="4" fontId="39" fillId="17" borderId="0" xfId="0" applyNumberFormat="1" applyFont="1" applyFill="1" applyBorder="1" applyAlignment="1">
      <alignment horizontal="center" vertical="center" wrapText="1"/>
    </xf>
    <xf numFmtId="170" fontId="39" fillId="0" borderId="2" xfId="0" applyNumberFormat="1" applyFont="1" applyFill="1" applyBorder="1" applyAlignment="1">
      <alignment horizontal="center" vertical="center" wrapText="1"/>
    </xf>
    <xf numFmtId="4" fontId="62" fillId="0" borderId="0" xfId="0" applyNumberFormat="1" applyFont="1" applyFill="1" applyBorder="1" applyAlignment="1">
      <alignment horizontal="center" vertical="center" wrapText="1"/>
    </xf>
    <xf numFmtId="4" fontId="62" fillId="0" borderId="0" xfId="0" applyNumberFormat="1" applyFont="1" applyFill="1" applyBorder="1" applyAlignment="1">
      <alignment horizontal="left" vertical="center" wrapText="1"/>
    </xf>
    <xf numFmtId="4" fontId="11" fillId="4" borderId="0" xfId="0" applyNumberFormat="1" applyFont="1" applyFill="1" applyBorder="1" applyAlignment="1">
      <alignment horizontal="center" vertical="center" wrapText="1"/>
    </xf>
    <xf numFmtId="168" fontId="41" fillId="10" borderId="2" xfId="0" applyNumberFormat="1" applyFont="1" applyFill="1" applyBorder="1" applyAlignment="1">
      <alignment horizontal="center" vertical="center" wrapText="1"/>
    </xf>
    <xf numFmtId="4" fontId="39" fillId="10" borderId="2" xfId="0" applyNumberFormat="1" applyFont="1" applyFill="1" applyBorder="1" applyAlignment="1">
      <alignment horizontal="center" vertical="center" wrapText="1"/>
    </xf>
    <xf numFmtId="174" fontId="42" fillId="0" borderId="0" xfId="0" applyNumberFormat="1" applyFont="1" applyFill="1" applyBorder="1" applyAlignment="1">
      <alignment horizontal="center"/>
    </xf>
    <xf numFmtId="4" fontId="39" fillId="7" borderId="0" xfId="0" applyNumberFormat="1" applyFont="1" applyFill="1" applyBorder="1" applyAlignment="1">
      <alignment horizontal="left" vertical="center" wrapText="1"/>
    </xf>
    <xf numFmtId="4" fontId="11" fillId="22" borderId="0" xfId="0" applyNumberFormat="1" applyFont="1" applyFill="1" applyBorder="1" applyAlignment="1">
      <alignment horizontal="left" vertical="center" wrapText="1"/>
    </xf>
    <xf numFmtId="4" fontId="39" fillId="22" borderId="0" xfId="0" applyNumberFormat="1" applyFont="1" applyFill="1" applyBorder="1" applyAlignment="1">
      <alignment horizontal="center" vertical="center" wrapText="1"/>
    </xf>
    <xf numFmtId="4" fontId="11" fillId="4" borderId="0" xfId="0" applyNumberFormat="1" applyFont="1" applyFill="1" applyBorder="1" applyAlignment="1">
      <alignment horizontal="left" vertical="center" wrapText="1"/>
    </xf>
    <xf numFmtId="4" fontId="62" fillId="4" borderId="0" xfId="0" applyNumberFormat="1" applyFont="1" applyFill="1" applyBorder="1" applyAlignment="1">
      <alignment horizontal="center" vertical="center" wrapText="1"/>
    </xf>
    <xf numFmtId="168" fontId="47" fillId="4" borderId="0" xfId="0" applyNumberFormat="1" applyFont="1" applyFill="1" applyBorder="1" applyAlignment="1">
      <alignment horizontal="center" vertical="center" wrapText="1"/>
    </xf>
    <xf numFmtId="174" fontId="41" fillId="10" borderId="2" xfId="0" applyNumberFormat="1" applyFont="1" applyFill="1" applyBorder="1" applyAlignment="1">
      <alignment horizontal="center" vertical="center" wrapText="1"/>
    </xf>
    <xf numFmtId="3" fontId="12" fillId="0" borderId="2" xfId="0" applyNumberFormat="1" applyFont="1" applyFill="1" applyBorder="1" applyAlignment="1">
      <alignment horizontal="center" vertical="center" wrapText="1"/>
    </xf>
    <xf numFmtId="166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168" fontId="47" fillId="0" borderId="0" xfId="0" applyNumberFormat="1" applyFont="1" applyFill="1" applyBorder="1" applyAlignment="1">
      <alignment horizontal="center" vertical="center" wrapText="1"/>
    </xf>
    <xf numFmtId="4" fontId="12" fillId="7" borderId="2" xfId="0" applyNumberFormat="1" applyFont="1" applyFill="1" applyBorder="1" applyAlignment="1">
      <alignment horizontal="right" vertical="center" wrapText="1"/>
    </xf>
    <xf numFmtId="4" fontId="37" fillId="4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Fill="1" applyBorder="1" applyAlignment="1">
      <alignment horizontal="left" vertical="center" wrapText="1"/>
    </xf>
    <xf numFmtId="4" fontId="39" fillId="22" borderId="0" xfId="0" applyNumberFormat="1" applyFont="1" applyFill="1" applyBorder="1" applyAlignment="1">
      <alignment horizontal="right" vertical="center" wrapText="1"/>
    </xf>
    <xf numFmtId="4" fontId="39" fillId="22" borderId="0" xfId="0" applyNumberFormat="1" applyFont="1" applyFill="1" applyBorder="1" applyAlignment="1">
      <alignment horizontal="left" vertical="center" wrapText="1"/>
    </xf>
    <xf numFmtId="4" fontId="39" fillId="22" borderId="2" xfId="0" applyNumberFormat="1" applyFont="1" applyFill="1" applyBorder="1" applyAlignment="1">
      <alignment horizontal="center" vertical="center" wrapText="1"/>
    </xf>
    <xf numFmtId="170" fontId="62" fillId="0" borderId="0" xfId="0" applyNumberFormat="1" applyFont="1" applyFill="1" applyBorder="1" applyAlignment="1">
      <alignment horizontal="left" vertical="center" wrapText="1"/>
    </xf>
    <xf numFmtId="4" fontId="39" fillId="4" borderId="0" xfId="0" applyNumberFormat="1" applyFont="1" applyFill="1" applyBorder="1" applyAlignment="1">
      <alignment horizontal="right" vertical="center" wrapText="1"/>
    </xf>
    <xf numFmtId="4" fontId="39" fillId="4" borderId="0" xfId="0" applyNumberFormat="1" applyFont="1" applyFill="1" applyBorder="1" applyAlignment="1">
      <alignment horizontal="left" vertical="center" wrapText="1"/>
    </xf>
    <xf numFmtId="4" fontId="39" fillId="14" borderId="0" xfId="0" applyNumberFormat="1" applyFont="1" applyFill="1" applyBorder="1" applyAlignment="1">
      <alignment horizontal="right" vertical="center" wrapText="1"/>
    </xf>
    <xf numFmtId="4" fontId="39" fillId="14" borderId="0" xfId="0" applyNumberFormat="1" applyFont="1" applyFill="1" applyBorder="1" applyAlignment="1">
      <alignment horizontal="left" vertical="center" wrapText="1"/>
    </xf>
    <xf numFmtId="4" fontId="39" fillId="20" borderId="0" xfId="0" applyNumberFormat="1" applyFont="1" applyFill="1" applyBorder="1" applyAlignment="1">
      <alignment horizontal="right" vertical="center" wrapText="1"/>
    </xf>
    <xf numFmtId="4" fontId="39" fillId="20" borderId="0" xfId="0" applyNumberFormat="1" applyFont="1" applyFill="1" applyBorder="1" applyAlignment="1">
      <alignment horizontal="left" vertical="center" wrapText="1"/>
    </xf>
    <xf numFmtId="168" fontId="62" fillId="0" borderId="0" xfId="0" applyNumberFormat="1" applyFont="1" applyFill="1" applyBorder="1" applyAlignment="1">
      <alignment horizontal="left" vertical="center" wrapText="1"/>
    </xf>
    <xf numFmtId="168" fontId="53" fillId="0" borderId="0" xfId="0" applyNumberFormat="1" applyFont="1" applyFill="1" applyBorder="1" applyAlignment="1">
      <alignment horizontal="center"/>
    </xf>
    <xf numFmtId="174" fontId="41" fillId="0" borderId="0" xfId="0" applyNumberFormat="1" applyFont="1" applyFill="1" applyBorder="1" applyAlignment="1">
      <alignment horizontal="center" vertical="center" wrapText="1"/>
    </xf>
    <xf numFmtId="4" fontId="39" fillId="14" borderId="0" xfId="0" applyNumberFormat="1" applyFont="1" applyFill="1" applyBorder="1" applyAlignment="1">
      <alignment horizontal="center" vertical="center" wrapText="1"/>
    </xf>
    <xf numFmtId="4" fontId="39" fillId="20" borderId="0" xfId="0" applyNumberFormat="1" applyFont="1" applyFill="1" applyBorder="1" applyAlignment="1">
      <alignment horizontal="center" vertical="center" wrapText="1"/>
    </xf>
    <xf numFmtId="4" fontId="39" fillId="4" borderId="0" xfId="0" applyNumberFormat="1" applyFont="1" applyFill="1" applyBorder="1" applyAlignment="1">
      <alignment horizontal="center" vertical="center" wrapText="1"/>
    </xf>
    <xf numFmtId="4" fontId="52" fillId="0" borderId="0" xfId="0" applyNumberFormat="1" applyFont="1" applyFill="1" applyBorder="1" applyAlignment="1">
      <alignment horizontal="left" wrapText="1"/>
    </xf>
    <xf numFmtId="168" fontId="23" fillId="0" borderId="0" xfId="0" applyNumberFormat="1" applyFont="1" applyFill="1" applyBorder="1" applyAlignment="1">
      <alignment horizontal="center"/>
    </xf>
    <xf numFmtId="174" fontId="41" fillId="0" borderId="0" xfId="0" applyNumberFormat="1" applyFont="1" applyFill="1" applyBorder="1" applyAlignment="1">
      <alignment horizontal="center"/>
    </xf>
    <xf numFmtId="4" fontId="11" fillId="7" borderId="2" xfId="0" applyNumberFormat="1" applyFont="1" applyFill="1" applyBorder="1" applyAlignment="1">
      <alignment horizontal="right" vertical="center" wrapText="1"/>
    </xf>
    <xf numFmtId="170" fontId="11" fillId="4" borderId="2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39" fillId="18" borderId="2" xfId="0" applyFont="1" applyFill="1" applyBorder="1" applyAlignment="1">
      <alignment vertical="center" wrapText="1"/>
    </xf>
    <xf numFmtId="4" fontId="37" fillId="18" borderId="2" xfId="0" applyNumberFormat="1" applyFont="1" applyFill="1" applyBorder="1" applyAlignment="1">
      <alignment horizontal="center" vertical="center"/>
    </xf>
    <xf numFmtId="4" fontId="11" fillId="18" borderId="2" xfId="0" applyNumberFormat="1" applyFont="1" applyFill="1" applyBorder="1" applyAlignment="1">
      <alignment horizontal="center" vertical="center" wrapText="1"/>
    </xf>
    <xf numFmtId="4" fontId="11" fillId="18" borderId="2" xfId="0" applyNumberFormat="1" applyFont="1" applyFill="1" applyBorder="1" applyAlignment="1">
      <alignment horizontal="left" vertical="center" wrapText="1"/>
    </xf>
    <xf numFmtId="4" fontId="11" fillId="9" borderId="2" xfId="0" applyNumberFormat="1" applyFont="1" applyFill="1" applyBorder="1" applyAlignment="1">
      <alignment horizontal="left" vertical="center" wrapText="1"/>
    </xf>
    <xf numFmtId="4" fontId="63" fillId="9" borderId="2" xfId="0" applyNumberFormat="1" applyFont="1" applyFill="1" applyBorder="1" applyAlignment="1">
      <alignment horizontal="center" vertical="center" wrapText="1"/>
    </xf>
    <xf numFmtId="0" fontId="21" fillId="12" borderId="2" xfId="0" applyFont="1" applyFill="1" applyBorder="1" applyAlignment="1">
      <alignment vertical="center" wrapText="1"/>
    </xf>
    <xf numFmtId="4" fontId="21" fillId="12" borderId="2" xfId="0" applyNumberFormat="1" applyFont="1" applyFill="1" applyBorder="1" applyAlignment="1">
      <alignment horizontal="center" vertical="center"/>
    </xf>
    <xf numFmtId="4" fontId="39" fillId="18" borderId="0" xfId="0" applyNumberFormat="1" applyFont="1" applyFill="1" applyBorder="1" applyAlignment="1">
      <alignment horizontal="right" vertical="center" wrapText="1"/>
    </xf>
    <xf numFmtId="4" fontId="39" fillId="18" borderId="0" xfId="0" applyNumberFormat="1" applyFont="1" applyFill="1" applyBorder="1" applyAlignment="1">
      <alignment horizontal="center" vertical="center" wrapText="1"/>
    </xf>
    <xf numFmtId="4" fontId="39" fillId="12" borderId="0" xfId="0" applyNumberFormat="1" applyFont="1" applyFill="1" applyBorder="1" applyAlignment="1">
      <alignment horizontal="right" vertical="center" wrapText="1"/>
    </xf>
    <xf numFmtId="4" fontId="37" fillId="12" borderId="0" xfId="0" applyNumberFormat="1" applyFont="1" applyFill="1" applyBorder="1" applyAlignment="1">
      <alignment horizontal="center" vertical="center" wrapText="1"/>
    </xf>
    <xf numFmtId="170" fontId="11" fillId="18" borderId="2" xfId="0" applyNumberFormat="1" applyFont="1" applyFill="1" applyBorder="1" applyAlignment="1">
      <alignment horizontal="right" vertical="center" wrapText="1"/>
    </xf>
    <xf numFmtId="170" fontId="41" fillId="10" borderId="2" xfId="0" applyNumberFormat="1" applyFont="1" applyFill="1" applyBorder="1" applyAlignment="1">
      <alignment horizontal="center" vertical="center" wrapText="1"/>
    </xf>
    <xf numFmtId="4" fontId="11" fillId="18" borderId="5" xfId="0" applyNumberFormat="1" applyFont="1" applyFill="1" applyBorder="1" applyAlignment="1">
      <alignment horizontal="left" vertical="center" wrapText="1"/>
    </xf>
    <xf numFmtId="174" fontId="11" fillId="9" borderId="2" xfId="0" applyNumberFormat="1" applyFont="1" applyFill="1" applyBorder="1" applyAlignment="1">
      <alignment horizontal="left" vertical="center" wrapText="1"/>
    </xf>
    <xf numFmtId="3" fontId="58" fillId="0" borderId="2" xfId="3" applyNumberFormat="1" applyFont="1" applyFill="1" applyBorder="1" applyAlignment="1">
      <alignment horizontal="center" vertical="center"/>
    </xf>
    <xf numFmtId="0" fontId="2" fillId="7" borderId="2" xfId="3" applyFont="1" applyFill="1" applyBorder="1" applyAlignment="1">
      <alignment horizontal="left" vertical="center" wrapText="1"/>
    </xf>
    <xf numFmtId="174" fontId="11" fillId="12" borderId="2" xfId="0" applyNumberFormat="1" applyFont="1" applyFill="1" applyBorder="1" applyAlignment="1">
      <alignment horizontal="center" vertical="center" wrapText="1"/>
    </xf>
    <xf numFmtId="174" fontId="42" fillId="12" borderId="2" xfId="0" applyNumberFormat="1" applyFont="1" applyFill="1" applyBorder="1" applyAlignment="1">
      <alignment horizontal="center" vertical="center" wrapText="1"/>
    </xf>
    <xf numFmtId="4" fontId="12" fillId="12" borderId="2" xfId="0" applyNumberFormat="1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4" fontId="39" fillId="9" borderId="2" xfId="0" applyNumberFormat="1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/>
    </xf>
    <xf numFmtId="0" fontId="2" fillId="12" borderId="2" xfId="0" applyFont="1" applyFill="1" applyBorder="1"/>
    <xf numFmtId="0" fontId="11" fillId="12" borderId="2" xfId="0" applyFont="1" applyFill="1" applyBorder="1" applyAlignment="1">
      <alignment horizontal="center"/>
    </xf>
    <xf numFmtId="4" fontId="39" fillId="12" borderId="2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/>
    </xf>
    <xf numFmtId="4" fontId="12" fillId="4" borderId="2" xfId="0" applyNumberFormat="1" applyFont="1" applyFill="1" applyBorder="1" applyAlignment="1">
      <alignment horizontal="center" vertical="center" wrapText="1"/>
    </xf>
    <xf numFmtId="174" fontId="61" fillId="4" borderId="2" xfId="0" applyNumberFormat="1" applyFont="1" applyFill="1" applyBorder="1" applyAlignment="1">
      <alignment horizontal="center" vertical="center" wrapText="1"/>
    </xf>
    <xf numFmtId="170" fontId="11" fillId="0" borderId="0" xfId="0" applyNumberFormat="1" applyFont="1" applyFill="1" applyBorder="1" applyAlignment="1">
      <alignment horizontal="center" vertical="center" wrapText="1"/>
    </xf>
    <xf numFmtId="0" fontId="11" fillId="15" borderId="2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vertical="center" wrapText="1"/>
    </xf>
    <xf numFmtId="3" fontId="37" fillId="15" borderId="2" xfId="0" applyNumberFormat="1" applyFont="1" applyFill="1" applyBorder="1" applyAlignment="1">
      <alignment horizontal="center" vertical="center" wrapText="1"/>
    </xf>
    <xf numFmtId="3" fontId="3" fillId="5" borderId="2" xfId="0" applyNumberFormat="1" applyFont="1" applyFill="1" applyBorder="1" applyAlignment="1">
      <alignment horizontal="center" vertical="center" wrapText="1"/>
    </xf>
    <xf numFmtId="0" fontId="39" fillId="12" borderId="2" xfId="0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right" vertical="center" wrapText="1"/>
    </xf>
    <xf numFmtId="4" fontId="11" fillId="0" borderId="2" xfId="0" applyNumberFormat="1" applyFont="1" applyFill="1" applyBorder="1" applyAlignment="1">
      <alignment horizontal="right" vertical="center" wrapText="1"/>
    </xf>
    <xf numFmtId="0" fontId="20" fillId="3" borderId="2" xfId="3" applyFont="1" applyFill="1" applyBorder="1" applyAlignment="1">
      <alignment horizontal="center" wrapText="1"/>
    </xf>
    <xf numFmtId="0" fontId="21" fillId="3" borderId="2" xfId="3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/>
    </xf>
    <xf numFmtId="3" fontId="2" fillId="19" borderId="2" xfId="0" applyNumberFormat="1" applyFont="1" applyFill="1" applyBorder="1" applyAlignment="1">
      <alignment horizontal="center" vertical="center"/>
    </xf>
    <xf numFmtId="4" fontId="36" fillId="0" borderId="2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center" wrapText="1"/>
    </xf>
    <xf numFmtId="3" fontId="3" fillId="10" borderId="2" xfId="0" applyNumberFormat="1" applyFont="1" applyFill="1" applyBorder="1" applyAlignment="1">
      <alignment horizontal="center" vertical="center"/>
    </xf>
    <xf numFmtId="164" fontId="3" fillId="19" borderId="2" xfId="0" applyNumberFormat="1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/>
    </xf>
    <xf numFmtId="4" fontId="2" fillId="18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/>
    </xf>
    <xf numFmtId="0" fontId="3" fillId="0" borderId="7" xfId="3" applyFont="1" applyFill="1" applyBorder="1" applyAlignment="1">
      <alignment horizontal="center" vertical="center"/>
    </xf>
    <xf numFmtId="0" fontId="3" fillId="0" borderId="8" xfId="3" applyFont="1" applyFill="1" applyBorder="1" applyAlignment="1">
      <alignment horizontal="center" vertical="center"/>
    </xf>
    <xf numFmtId="0" fontId="3" fillId="0" borderId="6" xfId="3" applyFont="1" applyFill="1" applyBorder="1" applyAlignment="1">
      <alignment horizontal="center" vertical="center"/>
    </xf>
    <xf numFmtId="0" fontId="2" fillId="4" borderId="3" xfId="3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3" borderId="2" xfId="3" applyFont="1" applyFill="1" applyBorder="1" applyAlignment="1">
      <alignment horizontal="center" vertical="center" wrapText="1"/>
    </xf>
    <xf numFmtId="0" fontId="2" fillId="3" borderId="2" xfId="3" applyFont="1" applyFill="1" applyBorder="1" applyAlignment="1">
      <alignment horizontal="center" vertical="center"/>
    </xf>
    <xf numFmtId="4" fontId="2" fillId="4" borderId="0" xfId="3" applyNumberFormat="1" applyFont="1" applyFill="1"/>
    <xf numFmtId="4" fontId="29" fillId="18" borderId="2" xfId="0" applyNumberFormat="1" applyFont="1" applyFill="1" applyBorder="1" applyAlignment="1">
      <alignment horizontal="center" vertical="center"/>
    </xf>
    <xf numFmtId="4" fontId="29" fillId="21" borderId="2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2" fillId="23" borderId="2" xfId="4" applyNumberFormat="1" applyFont="1" applyBorder="1" applyAlignment="1">
      <alignment horizontal="center" vertical="center"/>
    </xf>
    <xf numFmtId="166" fontId="2" fillId="0" borderId="0" xfId="3" applyNumberFormat="1" applyFont="1" applyFill="1" applyAlignment="1">
      <alignment horizontal="center"/>
    </xf>
    <xf numFmtId="4" fontId="3" fillId="23" borderId="2" xfId="4" applyNumberFormat="1" applyFont="1" applyBorder="1" applyAlignment="1">
      <alignment horizontal="center" vertical="center"/>
    </xf>
    <xf numFmtId="3" fontId="2" fillId="19" borderId="2" xfId="3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167" fontId="39" fillId="0" borderId="0" xfId="0" applyNumberFormat="1" applyFont="1" applyFill="1" applyBorder="1" applyAlignment="1">
      <alignment horizontal="center" vertical="center" wrapText="1"/>
    </xf>
    <xf numFmtId="169" fontId="11" fillId="0" borderId="0" xfId="0" applyNumberFormat="1" applyFont="1" applyFill="1" applyBorder="1" applyAlignment="1">
      <alignment horizontal="center" vertical="center" wrapText="1"/>
    </xf>
    <xf numFmtId="4" fontId="29" fillId="10" borderId="2" xfId="0" applyNumberFormat="1" applyFont="1" applyFill="1" applyBorder="1" applyAlignment="1">
      <alignment horizontal="center" vertical="center"/>
    </xf>
    <xf numFmtId="4" fontId="2" fillId="21" borderId="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3" fontId="3" fillId="0" borderId="8" xfId="3" applyNumberFormat="1" applyFont="1" applyFill="1" applyBorder="1" applyAlignment="1">
      <alignment horizontal="center" vertical="center"/>
    </xf>
    <xf numFmtId="4" fontId="2" fillId="0" borderId="2" xfId="1" applyNumberFormat="1" applyFont="1" applyFill="1" applyBorder="1" applyAlignment="1">
      <alignment horizontal="center" vertical="center"/>
    </xf>
    <xf numFmtId="4" fontId="58" fillId="0" borderId="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1" fontId="11" fillId="0" borderId="2" xfId="0" applyNumberFormat="1" applyFont="1" applyFill="1" applyBorder="1" applyAlignment="1">
      <alignment horizontal="center" vertical="center" wrapText="1"/>
    </xf>
    <xf numFmtId="168" fontId="12" fillId="12" borderId="2" xfId="0" applyNumberFormat="1" applyFont="1" applyFill="1" applyBorder="1" applyAlignment="1">
      <alignment horizontal="center" vertical="center" wrapText="1"/>
    </xf>
    <xf numFmtId="3" fontId="39" fillId="12" borderId="2" xfId="0" applyNumberFormat="1" applyFont="1" applyFill="1" applyBorder="1" applyAlignment="1">
      <alignment horizontal="center" vertical="center" wrapText="1"/>
    </xf>
    <xf numFmtId="4" fontId="12" fillId="9" borderId="2" xfId="0" applyNumberFormat="1" applyFont="1" applyFill="1" applyBorder="1" applyAlignment="1">
      <alignment horizontal="center" vertical="center" wrapText="1"/>
    </xf>
    <xf numFmtId="168" fontId="12" fillId="9" borderId="2" xfId="0" applyNumberFormat="1" applyFont="1" applyFill="1" applyBorder="1" applyAlignment="1">
      <alignment horizontal="center" vertical="center" wrapText="1"/>
    </xf>
    <xf numFmtId="3" fontId="39" fillId="9" borderId="2" xfId="0" applyNumberFormat="1" applyFont="1" applyFill="1" applyBorder="1" applyAlignment="1">
      <alignment horizontal="center" vertical="center" wrapText="1"/>
    </xf>
    <xf numFmtId="3" fontId="11" fillId="11" borderId="3" xfId="0" applyNumberFormat="1" applyFont="1" applyFill="1" applyBorder="1" applyAlignment="1">
      <alignment horizontal="center" vertical="center" wrapText="1"/>
    </xf>
    <xf numFmtId="4" fontId="12" fillId="12" borderId="3" xfId="0" applyNumberFormat="1" applyFont="1" applyFill="1" applyBorder="1" applyAlignment="1">
      <alignment horizontal="center" vertical="center" wrapText="1"/>
    </xf>
    <xf numFmtId="169" fontId="37" fillId="0" borderId="2" xfId="0" applyNumberFormat="1" applyFont="1" applyFill="1" applyBorder="1" applyAlignment="1">
      <alignment horizontal="center" vertical="center" wrapText="1"/>
    </xf>
    <xf numFmtId="0" fontId="2" fillId="10" borderId="2" xfId="3" applyFont="1" applyFill="1" applyBorder="1" applyAlignment="1">
      <alignment horizontal="center" vertical="center"/>
    </xf>
    <xf numFmtId="0" fontId="2" fillId="10" borderId="2" xfId="3" applyFont="1" applyFill="1" applyBorder="1" applyAlignment="1">
      <alignment horizontal="center" vertical="center" wrapText="1"/>
    </xf>
    <xf numFmtId="4" fontId="11" fillId="23" borderId="2" xfId="4" applyNumberFormat="1" applyFont="1" applyBorder="1" applyAlignment="1">
      <alignment horizontal="center" vertical="center"/>
    </xf>
    <xf numFmtId="4" fontId="39" fillId="23" borderId="2" xfId="4" applyNumberFormat="1" applyFont="1" applyBorder="1" applyAlignment="1">
      <alignment horizontal="center" vertical="center"/>
    </xf>
    <xf numFmtId="4" fontId="39" fillId="12" borderId="0" xfId="0" applyNumberFormat="1" applyFont="1" applyFill="1" applyBorder="1" applyAlignment="1">
      <alignment horizontal="center" vertical="center" wrapText="1"/>
    </xf>
    <xf numFmtId="4" fontId="11" fillId="12" borderId="0" xfId="0" applyNumberFormat="1" applyFont="1" applyFill="1" applyBorder="1" applyAlignment="1">
      <alignment horizontal="center" vertical="center" wrapText="1"/>
    </xf>
    <xf numFmtId="173" fontId="11" fillId="0" borderId="0" xfId="0" applyNumberFormat="1" applyFont="1" applyFill="1" applyBorder="1"/>
    <xf numFmtId="0" fontId="15" fillId="3" borderId="0" xfId="0" applyFont="1" applyFill="1" applyBorder="1" applyAlignment="1">
      <alignment horizontal="center" vertical="center" wrapText="1" readingOrder="1"/>
    </xf>
    <xf numFmtId="0" fontId="4" fillId="3" borderId="0" xfId="0" applyFont="1" applyFill="1" applyBorder="1" applyAlignment="1">
      <alignment horizontal="center" vertical="center" wrapText="1" readingOrder="1"/>
    </xf>
    <xf numFmtId="3" fontId="21" fillId="12" borderId="2" xfId="0" applyNumberFormat="1" applyFont="1" applyFill="1" applyBorder="1" applyAlignment="1">
      <alignment horizontal="center" vertical="center" wrapText="1"/>
    </xf>
    <xf numFmtId="0" fontId="20" fillId="11" borderId="0" xfId="0" applyFont="1" applyFill="1" applyBorder="1" applyAlignment="1">
      <alignment vertical="center" wrapText="1"/>
    </xf>
    <xf numFmtId="4" fontId="11" fillId="11" borderId="0" xfId="0" applyNumberFormat="1" applyFont="1" applyFill="1" applyBorder="1" applyAlignment="1">
      <alignment horizontal="center" vertical="center" wrapText="1"/>
    </xf>
    <xf numFmtId="3" fontId="66" fillId="0" borderId="2" xfId="3" applyNumberFormat="1" applyFont="1" applyFill="1" applyBorder="1" applyAlignment="1">
      <alignment horizontal="center" vertical="center"/>
    </xf>
    <xf numFmtId="3" fontId="28" fillId="0" borderId="2" xfId="3" applyNumberFormat="1" applyFont="1" applyFill="1" applyBorder="1" applyAlignment="1">
      <alignment horizontal="center" vertical="center"/>
    </xf>
    <xf numFmtId="3" fontId="32" fillId="4" borderId="2" xfId="3" applyNumberFormat="1" applyFont="1" applyFill="1" applyBorder="1" applyAlignment="1">
      <alignment horizontal="center" vertical="center"/>
    </xf>
    <xf numFmtId="3" fontId="66" fillId="3" borderId="2" xfId="3" applyNumberFormat="1" applyFont="1" applyFill="1" applyBorder="1" applyAlignment="1">
      <alignment horizontal="center" vertical="center"/>
    </xf>
    <xf numFmtId="0" fontId="2" fillId="0" borderId="3" xfId="3" applyFont="1" applyFill="1" applyBorder="1" applyAlignment="1">
      <alignment horizontal="center" vertical="center" wrapText="1"/>
    </xf>
    <xf numFmtId="3" fontId="58" fillId="0" borderId="2" xfId="3" applyNumberFormat="1" applyFont="1" applyFill="1" applyBorder="1" applyAlignment="1">
      <alignment horizontal="center" vertical="center" wrapText="1"/>
    </xf>
    <xf numFmtId="3" fontId="58" fillId="3" borderId="2" xfId="0" applyNumberFormat="1" applyFont="1" applyFill="1" applyBorder="1" applyAlignment="1">
      <alignment horizontal="center" vertical="center" wrapText="1"/>
    </xf>
    <xf numFmtId="3" fontId="58" fillId="0" borderId="2" xfId="0" applyNumberFormat="1" applyFont="1" applyFill="1" applyBorder="1" applyAlignment="1">
      <alignment horizontal="center" vertical="center" wrapText="1"/>
    </xf>
    <xf numFmtId="3" fontId="29" fillId="3" borderId="2" xfId="0" applyNumberFormat="1" applyFont="1" applyFill="1" applyBorder="1" applyAlignment="1">
      <alignment horizontal="center" vertical="center" wrapText="1"/>
    </xf>
    <xf numFmtId="3" fontId="66" fillId="3" borderId="2" xfId="0" applyNumberFormat="1" applyFont="1" applyFill="1" applyBorder="1" applyAlignment="1">
      <alignment horizontal="center" vertical="center" wrapText="1"/>
    </xf>
    <xf numFmtId="3" fontId="58" fillId="3" borderId="2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wrapText="1"/>
    </xf>
    <xf numFmtId="3" fontId="29" fillId="3" borderId="2" xfId="0" applyNumberFormat="1" applyFont="1" applyFill="1" applyBorder="1" applyAlignment="1">
      <alignment horizontal="center" vertical="center"/>
    </xf>
    <xf numFmtId="3" fontId="66" fillId="10" borderId="2" xfId="0" applyNumberFormat="1" applyFont="1" applyFill="1" applyBorder="1" applyAlignment="1">
      <alignment horizontal="center" vertical="center" wrapText="1"/>
    </xf>
    <xf numFmtId="3" fontId="58" fillId="10" borderId="2" xfId="0" applyNumberFormat="1" applyFont="1" applyFill="1" applyBorder="1" applyAlignment="1">
      <alignment horizontal="center" vertical="center" wrapText="1"/>
    </xf>
    <xf numFmtId="3" fontId="66" fillId="10" borderId="2" xfId="0" applyNumberFormat="1" applyFont="1" applyFill="1" applyBorder="1" applyAlignment="1">
      <alignment horizontal="center" vertical="center"/>
    </xf>
    <xf numFmtId="3" fontId="36" fillId="10" borderId="2" xfId="0" applyNumberFormat="1" applyFont="1" applyFill="1" applyBorder="1" applyAlignment="1">
      <alignment horizontal="center" vertical="center" wrapText="1"/>
    </xf>
    <xf numFmtId="3" fontId="36" fillId="3" borderId="2" xfId="0" applyNumberFormat="1" applyFont="1" applyFill="1" applyBorder="1" applyAlignment="1">
      <alignment horizontal="center" vertical="center" wrapText="1"/>
    </xf>
    <xf numFmtId="3" fontId="58" fillId="0" borderId="2" xfId="0" applyNumberFormat="1" applyFont="1" applyFill="1" applyBorder="1" applyAlignment="1">
      <alignment horizontal="center" vertical="center"/>
    </xf>
    <xf numFmtId="3" fontId="66" fillId="3" borderId="2" xfId="0" applyNumberFormat="1" applyFont="1" applyFill="1" applyBorder="1" applyAlignment="1">
      <alignment horizontal="center" vertical="center"/>
    </xf>
    <xf numFmtId="3" fontId="32" fillId="3" borderId="2" xfId="0" applyNumberFormat="1" applyFont="1" applyFill="1" applyBorder="1" applyAlignment="1">
      <alignment horizontal="center" vertical="center"/>
    </xf>
    <xf numFmtId="3" fontId="66" fillId="4" borderId="2" xfId="0" applyNumberFormat="1" applyFont="1" applyFill="1" applyBorder="1" applyAlignment="1">
      <alignment horizontal="center"/>
    </xf>
    <xf numFmtId="3" fontId="32" fillId="3" borderId="2" xfId="0" applyNumberFormat="1" applyFont="1" applyFill="1" applyBorder="1" applyAlignment="1">
      <alignment horizontal="center" vertical="center" wrapText="1"/>
    </xf>
    <xf numFmtId="3" fontId="28" fillId="19" borderId="2" xfId="0" applyNumberFormat="1" applyFont="1" applyFill="1" applyBorder="1" applyAlignment="1">
      <alignment horizontal="center" vertical="center" wrapText="1"/>
    </xf>
    <xf numFmtId="3" fontId="32" fillId="19" borderId="2" xfId="0" applyNumberFormat="1" applyFont="1" applyFill="1" applyBorder="1" applyAlignment="1">
      <alignment horizontal="center" vertical="center"/>
    </xf>
    <xf numFmtId="3" fontId="58" fillId="19" borderId="2" xfId="0" applyNumberFormat="1" applyFont="1" applyFill="1" applyBorder="1" applyAlignment="1">
      <alignment horizontal="center" vertical="center"/>
    </xf>
    <xf numFmtId="4" fontId="32" fillId="0" borderId="2" xfId="0" applyNumberFormat="1" applyFont="1" applyFill="1" applyBorder="1" applyAlignment="1">
      <alignment horizontal="center" vertical="center"/>
    </xf>
    <xf numFmtId="3" fontId="66" fillId="0" borderId="2" xfId="0" applyNumberFormat="1" applyFont="1" applyFill="1" applyBorder="1" applyAlignment="1">
      <alignment horizontal="center" vertical="center"/>
    </xf>
    <xf numFmtId="3" fontId="28" fillId="19" borderId="2" xfId="0" applyNumberFormat="1" applyFont="1" applyFill="1" applyBorder="1" applyAlignment="1">
      <alignment horizontal="center" vertical="center"/>
    </xf>
    <xf numFmtId="3" fontId="32" fillId="1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wrapText="1"/>
    </xf>
    <xf numFmtId="164" fontId="66" fillId="19" borderId="2" xfId="0" applyNumberFormat="1" applyFont="1" applyFill="1" applyBorder="1" applyAlignment="1">
      <alignment horizontal="center" vertical="center"/>
    </xf>
    <xf numFmtId="3" fontId="66" fillId="0" borderId="2" xfId="0" applyNumberFormat="1" applyFont="1" applyFill="1" applyBorder="1" applyAlignment="1">
      <alignment horizontal="center"/>
    </xf>
    <xf numFmtId="3" fontId="29" fillId="3" borderId="2" xfId="0" applyNumberFormat="1" applyFont="1" applyFill="1" applyBorder="1" applyAlignment="1">
      <alignment horizontal="center"/>
    </xf>
    <xf numFmtId="0" fontId="67" fillId="0" borderId="2" xfId="0" applyFont="1" applyFill="1" applyBorder="1" applyAlignment="1">
      <alignment horizontal="center" wrapText="1"/>
    </xf>
    <xf numFmtId="0" fontId="39" fillId="9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/>
    </xf>
    <xf numFmtId="4" fontId="53" fillId="3" borderId="0" xfId="0" applyNumberFormat="1" applyFont="1" applyFill="1" applyBorder="1" applyAlignment="1">
      <alignment horizontal="center" vertical="center" wrapText="1"/>
    </xf>
    <xf numFmtId="0" fontId="2" fillId="9" borderId="0" xfId="0" applyFont="1" applyFill="1" applyBorder="1"/>
    <xf numFmtId="0" fontId="2" fillId="4" borderId="0" xfId="0" applyFont="1" applyFill="1" applyBorder="1" applyAlignment="1">
      <alignment vertical="center" wrapText="1"/>
    </xf>
    <xf numFmtId="0" fontId="39" fillId="4" borderId="0" xfId="0" applyFont="1" applyFill="1" applyBorder="1" applyAlignment="1">
      <alignment horizontal="center"/>
    </xf>
    <xf numFmtId="0" fontId="11" fillId="4" borderId="0" xfId="0" applyFont="1" applyFill="1" applyBorder="1" applyAlignment="1">
      <alignment horizontal="center"/>
    </xf>
    <xf numFmtId="3" fontId="51" fillId="4" borderId="2" xfId="0" applyNumberFormat="1" applyFont="1" applyFill="1" applyBorder="1" applyAlignment="1">
      <alignment horizontal="center" vertical="center" wrapText="1"/>
    </xf>
    <xf numFmtId="3" fontId="51" fillId="4" borderId="3" xfId="0" applyNumberFormat="1" applyFont="1" applyFill="1" applyBorder="1" applyAlignment="1">
      <alignment horizontal="center" vertical="center" wrapText="1"/>
    </xf>
    <xf numFmtId="4" fontId="12" fillId="9" borderId="3" xfId="0" applyNumberFormat="1" applyFont="1" applyFill="1" applyBorder="1" applyAlignment="1">
      <alignment horizontal="center" vertical="center" wrapText="1"/>
    </xf>
    <xf numFmtId="3" fontId="37" fillId="9" borderId="2" xfId="0" applyNumberFormat="1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2" fillId="4" borderId="3" xfId="3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/>
    </xf>
    <xf numFmtId="0" fontId="39" fillId="9" borderId="2" xfId="0" applyFont="1" applyFill="1" applyBorder="1" applyAlignment="1">
      <alignment horizontal="center" vertical="center" wrapText="1"/>
    </xf>
    <xf numFmtId="3" fontId="21" fillId="0" borderId="2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4" fontId="37" fillId="7" borderId="0" xfId="0" applyNumberFormat="1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3" fontId="2" fillId="10" borderId="2" xfId="3" applyNumberFormat="1" applyFont="1" applyFill="1" applyBorder="1" applyAlignment="1">
      <alignment horizontal="center" vertical="center"/>
    </xf>
    <xf numFmtId="3" fontId="29" fillId="10" borderId="2" xfId="3" applyNumberFormat="1" applyFont="1" applyFill="1" applyBorder="1" applyAlignment="1">
      <alignment horizontal="center" vertical="center"/>
    </xf>
    <xf numFmtId="4" fontId="29" fillId="10" borderId="2" xfId="3" applyNumberFormat="1" applyFont="1" applyFill="1" applyBorder="1" applyAlignment="1">
      <alignment horizontal="center" vertical="center"/>
    </xf>
    <xf numFmtId="4" fontId="2" fillId="10" borderId="2" xfId="3" applyNumberFormat="1" applyFont="1" applyFill="1" applyBorder="1" applyAlignment="1">
      <alignment horizontal="center" vertical="center"/>
    </xf>
    <xf numFmtId="4" fontId="3" fillId="10" borderId="2" xfId="3" applyNumberFormat="1" applyFont="1" applyFill="1" applyBorder="1" applyAlignment="1">
      <alignment horizontal="center" vertical="center"/>
    </xf>
    <xf numFmtId="4" fontId="28" fillId="10" borderId="2" xfId="3" applyNumberFormat="1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2" fillId="4" borderId="2" xfId="3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/>
    </xf>
    <xf numFmtId="3" fontId="28" fillId="10" borderId="2" xfId="3" applyNumberFormat="1" applyFont="1" applyFill="1" applyBorder="1" applyAlignment="1">
      <alignment horizontal="center" vertical="center"/>
    </xf>
    <xf numFmtId="3" fontId="2" fillId="10" borderId="2" xfId="0" applyNumberFormat="1" applyFont="1" applyFill="1" applyBorder="1" applyAlignment="1">
      <alignment horizontal="center" vertical="center" wrapText="1"/>
    </xf>
    <xf numFmtId="3" fontId="32" fillId="4" borderId="2" xfId="0" applyNumberFormat="1" applyFont="1" applyFill="1" applyBorder="1" applyAlignment="1">
      <alignment horizontal="center" vertical="center"/>
    </xf>
    <xf numFmtId="3" fontId="58" fillId="4" borderId="2" xfId="0" applyNumberFormat="1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/>
    </xf>
    <xf numFmtId="4" fontId="7" fillId="4" borderId="2" xfId="0" applyNumberFormat="1" applyFont="1" applyFill="1" applyBorder="1" applyAlignment="1">
      <alignment horizontal="center" vertical="center"/>
    </xf>
    <xf numFmtId="0" fontId="39" fillId="9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/>
    </xf>
    <xf numFmtId="3" fontId="28" fillId="0" borderId="2" xfId="0" applyNumberFormat="1" applyFont="1" applyFill="1" applyBorder="1" applyAlignment="1">
      <alignment horizontal="center" vertical="center" wrapText="1"/>
    </xf>
    <xf numFmtId="3" fontId="29" fillId="0" borderId="2" xfId="0" applyNumberFormat="1" applyFont="1" applyFill="1" applyBorder="1" applyAlignment="1">
      <alignment horizontal="center" vertical="center" wrapText="1"/>
    </xf>
    <xf numFmtId="3" fontId="29" fillId="10" borderId="2" xfId="0" applyNumberFormat="1" applyFont="1" applyFill="1" applyBorder="1" applyAlignment="1">
      <alignment horizontal="center"/>
    </xf>
    <xf numFmtId="3" fontId="29" fillId="0" borderId="2" xfId="0" applyNumberFormat="1" applyFont="1" applyFill="1" applyBorder="1" applyAlignment="1">
      <alignment horizontal="center"/>
    </xf>
    <xf numFmtId="3" fontId="29" fillId="0" borderId="2" xfId="0" applyNumberFormat="1" applyFont="1" applyFill="1" applyBorder="1" applyAlignment="1">
      <alignment horizontal="center" vertical="center"/>
    </xf>
    <xf numFmtId="4" fontId="32" fillId="3" borderId="2" xfId="3" applyNumberFormat="1" applyFont="1" applyFill="1" applyBorder="1" applyAlignment="1">
      <alignment horizontal="center" vertical="center"/>
    </xf>
    <xf numFmtId="0" fontId="2" fillId="12" borderId="0" xfId="0" applyFont="1" applyFill="1" applyBorder="1" applyAlignment="1">
      <alignment vertical="center" wrapText="1"/>
    </xf>
    <xf numFmtId="3" fontId="29" fillId="10" borderId="2" xfId="0" applyNumberFormat="1" applyFont="1" applyFill="1" applyBorder="1" applyAlignment="1">
      <alignment horizontal="center" vertical="center" wrapText="1"/>
    </xf>
    <xf numFmtId="3" fontId="29" fillId="10" borderId="2" xfId="0" applyNumberFormat="1" applyFont="1" applyFill="1" applyBorder="1" applyAlignment="1">
      <alignment horizontal="center" vertical="center"/>
    </xf>
    <xf numFmtId="164" fontId="29" fillId="19" borderId="2" xfId="0" applyNumberFormat="1" applyFont="1" applyFill="1" applyBorder="1" applyAlignment="1">
      <alignment horizontal="center" vertical="center"/>
    </xf>
    <xf numFmtId="3" fontId="29" fillId="4" borderId="2" xfId="0" applyNumberFormat="1" applyFont="1" applyFill="1" applyBorder="1" applyAlignment="1">
      <alignment horizontal="center"/>
    </xf>
    <xf numFmtId="4" fontId="58" fillId="0" borderId="2" xfId="3" applyNumberFormat="1" applyFont="1" applyFill="1" applyBorder="1" applyAlignment="1">
      <alignment horizontal="center" vertical="center"/>
    </xf>
    <xf numFmtId="4" fontId="58" fillId="3" borderId="2" xfId="3" applyNumberFormat="1" applyFont="1" applyFill="1" applyBorder="1" applyAlignment="1">
      <alignment horizontal="center" vertical="center"/>
    </xf>
    <xf numFmtId="4" fontId="61" fillId="0" borderId="2" xfId="0" applyNumberFormat="1" applyFont="1" applyFill="1" applyBorder="1" applyAlignment="1">
      <alignment horizontal="center" vertical="center" wrapText="1"/>
    </xf>
    <xf numFmtId="0" fontId="2" fillId="3" borderId="0" xfId="3" applyFont="1" applyFill="1" applyAlignment="1">
      <alignment horizontal="right"/>
    </xf>
    <xf numFmtId="4" fontId="2" fillId="3" borderId="0" xfId="3" applyNumberFormat="1" applyFont="1" applyFill="1" applyAlignment="1">
      <alignment horizontal="center"/>
    </xf>
    <xf numFmtId="4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 vertical="center"/>
    </xf>
    <xf numFmtId="0" fontId="40" fillId="0" borderId="0" xfId="0" applyFont="1" applyFill="1" applyBorder="1" applyAlignment="1">
      <alignment horizontal="center" vertical="top"/>
    </xf>
    <xf numFmtId="4" fontId="29" fillId="10" borderId="2" xfId="0" applyNumberFormat="1" applyFont="1" applyFill="1" applyBorder="1" applyAlignment="1">
      <alignment horizontal="center" vertical="center" wrapText="1"/>
    </xf>
    <xf numFmtId="4" fontId="58" fillId="21" borderId="2" xfId="0" applyNumberFormat="1" applyFont="1" applyFill="1" applyBorder="1" applyAlignment="1">
      <alignment horizontal="center" vertical="center" wrapText="1"/>
    </xf>
    <xf numFmtId="4" fontId="58" fillId="21" borderId="2" xfId="0" applyNumberFormat="1" applyFont="1" applyFill="1" applyBorder="1" applyAlignment="1">
      <alignment horizontal="center" vertical="center"/>
    </xf>
    <xf numFmtId="4" fontId="29" fillId="10" borderId="2" xfId="0" applyNumberFormat="1" applyFont="1" applyFill="1" applyBorder="1" applyAlignment="1">
      <alignment horizontal="center"/>
    </xf>
    <xf numFmtId="4" fontId="28" fillId="21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vertical="center"/>
    </xf>
    <xf numFmtId="4" fontId="29" fillId="0" borderId="2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 vertical="top" wrapText="1"/>
    </xf>
    <xf numFmtId="4" fontId="31" fillId="0" borderId="0" xfId="0" applyNumberFormat="1" applyFont="1"/>
    <xf numFmtId="4" fontId="2" fillId="3" borderId="0" xfId="0" applyNumberFormat="1" applyFont="1" applyFill="1" applyBorder="1" applyAlignment="1">
      <alignment horizontal="left" vertical="center" wrapText="1" readingOrder="1"/>
    </xf>
    <xf numFmtId="4" fontId="4" fillId="0" borderId="2" xfId="0" applyNumberFormat="1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vertical="center" wrapText="1"/>
    </xf>
    <xf numFmtId="3" fontId="70" fillId="3" borderId="2" xfId="0" applyNumberFormat="1" applyFont="1" applyFill="1" applyBorder="1" applyAlignment="1">
      <alignment horizontal="center" vertical="center" wrapText="1"/>
    </xf>
    <xf numFmtId="4" fontId="58" fillId="18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20" fillId="9" borderId="2" xfId="0" applyFont="1" applyFill="1" applyBorder="1" applyAlignment="1">
      <alignment horizontal="center" vertical="center" wrapText="1" readingOrder="1"/>
    </xf>
    <xf numFmtId="4" fontId="2" fillId="9" borderId="0" xfId="0" applyNumberFormat="1" applyFont="1" applyFill="1" applyBorder="1" applyAlignment="1">
      <alignment horizontal="left" vertical="center" wrapText="1" readingOrder="1"/>
    </xf>
    <xf numFmtId="4" fontId="42" fillId="11" borderId="2" xfId="0" applyNumberFormat="1" applyFont="1" applyFill="1" applyBorder="1" applyAlignment="1">
      <alignment horizontal="center" vertical="center" wrapText="1"/>
    </xf>
    <xf numFmtId="167" fontId="46" fillId="0" borderId="0" xfId="0" applyNumberFormat="1" applyFont="1" applyFill="1" applyBorder="1" applyAlignment="1">
      <alignment horizontal="center" vertical="center" wrapText="1"/>
    </xf>
    <xf numFmtId="4" fontId="39" fillId="11" borderId="0" xfId="0" applyNumberFormat="1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right" vertical="center" wrapText="1"/>
    </xf>
    <xf numFmtId="168" fontId="12" fillId="0" borderId="0" xfId="0" applyNumberFormat="1" applyFont="1" applyFill="1" applyBorder="1" applyAlignment="1">
      <alignment horizontal="center" vertical="center" wrapText="1"/>
    </xf>
    <xf numFmtId="167" fontId="2" fillId="0" borderId="0" xfId="0" applyNumberFormat="1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vertical="center" wrapText="1"/>
    </xf>
    <xf numFmtId="3" fontId="11" fillId="7" borderId="2" xfId="0" applyNumberFormat="1" applyFont="1" applyFill="1" applyBorder="1" applyAlignment="1">
      <alignment horizontal="center" vertical="center" wrapText="1"/>
    </xf>
    <xf numFmtId="3" fontId="21" fillId="7" borderId="2" xfId="0" applyNumberFormat="1" applyFont="1" applyFill="1" applyBorder="1" applyAlignment="1">
      <alignment horizontal="center" vertical="center" wrapText="1"/>
    </xf>
    <xf numFmtId="168" fontId="2" fillId="0" borderId="0" xfId="0" applyNumberFormat="1" applyFont="1" applyFill="1" applyBorder="1" applyAlignment="1">
      <alignment horizontal="center" vertical="center" wrapText="1"/>
    </xf>
    <xf numFmtId="4" fontId="42" fillId="12" borderId="2" xfId="0" applyNumberFormat="1" applyFont="1" applyFill="1" applyBorder="1" applyAlignment="1">
      <alignment horizontal="center" vertical="center" wrapText="1"/>
    </xf>
    <xf numFmtId="4" fontId="71" fillId="0" borderId="0" xfId="0" applyNumberFormat="1" applyFont="1" applyFill="1" applyBorder="1" applyAlignment="1">
      <alignment horizontal="center" vertical="center" wrapText="1"/>
    </xf>
    <xf numFmtId="174" fontId="2" fillId="0" borderId="0" xfId="0" applyNumberFormat="1" applyFont="1" applyFill="1" applyBorder="1" applyAlignment="1">
      <alignment horizontal="center" vertical="center" wrapText="1"/>
    </xf>
    <xf numFmtId="4" fontId="36" fillId="0" borderId="2" xfId="0" applyNumberFormat="1" applyFont="1" applyFill="1" applyBorder="1" applyAlignment="1">
      <alignment horizontal="center" vertical="center"/>
    </xf>
    <xf numFmtId="4" fontId="3" fillId="14" borderId="2" xfId="3" applyNumberFormat="1" applyFont="1" applyFill="1" applyBorder="1" applyAlignment="1">
      <alignment horizontal="center" vertical="center"/>
    </xf>
    <xf numFmtId="4" fontId="3" fillId="9" borderId="2" xfId="3" applyNumberFormat="1" applyFont="1" applyFill="1" applyBorder="1" applyAlignment="1">
      <alignment horizontal="center" vertical="center"/>
    </xf>
    <xf numFmtId="4" fontId="2" fillId="9" borderId="2" xfId="1" applyNumberFormat="1" applyFont="1" applyFill="1" applyBorder="1" applyAlignment="1">
      <alignment horizontal="center" vertical="center" wrapText="1" readingOrder="1"/>
    </xf>
    <xf numFmtId="4" fontId="2" fillId="9" borderId="2" xfId="0" applyNumberFormat="1" applyFont="1" applyFill="1" applyBorder="1" applyAlignment="1">
      <alignment horizontal="center" vertical="center" wrapText="1" readingOrder="1"/>
    </xf>
    <xf numFmtId="4" fontId="3" fillId="9" borderId="2" xfId="0" applyNumberFormat="1" applyFont="1" applyFill="1" applyBorder="1" applyAlignment="1">
      <alignment horizontal="center" vertical="center" wrapText="1" readingOrder="1"/>
    </xf>
    <xf numFmtId="4" fontId="11" fillId="3" borderId="0" xfId="0" applyNumberFormat="1" applyFont="1" applyFill="1" applyBorder="1"/>
    <xf numFmtId="170" fontId="11" fillId="0" borderId="0" xfId="0" applyNumberFormat="1" applyFont="1" applyFill="1" applyBorder="1"/>
    <xf numFmtId="4" fontId="66" fillId="0" borderId="2" xfId="3" applyNumberFormat="1" applyFont="1" applyFill="1" applyBorder="1" applyAlignment="1">
      <alignment horizontal="center" vertical="center"/>
    </xf>
    <xf numFmtId="3" fontId="3" fillId="10" borderId="2" xfId="3" applyNumberFormat="1" applyFont="1" applyFill="1" applyBorder="1" applyAlignment="1">
      <alignment horizontal="center" vertical="center"/>
    </xf>
    <xf numFmtId="4" fontId="66" fillId="3" borderId="2" xfId="3" applyNumberFormat="1" applyFont="1" applyFill="1" applyBorder="1" applyAlignment="1">
      <alignment horizontal="center" vertical="center"/>
    </xf>
    <xf numFmtId="4" fontId="2" fillId="17" borderId="2" xfId="3" applyNumberFormat="1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center" vertical="center" wrapText="1"/>
    </xf>
    <xf numFmtId="4" fontId="7" fillId="0" borderId="0" xfId="0" applyNumberFormat="1" applyFont="1" applyFill="1"/>
    <xf numFmtId="4" fontId="2" fillId="0" borderId="0" xfId="0" applyNumberFormat="1" applyFont="1" applyFill="1"/>
    <xf numFmtId="4" fontId="28" fillId="0" borderId="2" xfId="0" applyNumberFormat="1" applyFont="1" applyFill="1" applyBorder="1" applyAlignment="1">
      <alignment horizontal="center" vertical="center" wrapText="1" readingOrder="1"/>
    </xf>
    <xf numFmtId="4" fontId="28" fillId="3" borderId="2" xfId="0" applyNumberFormat="1" applyFont="1" applyFill="1" applyBorder="1" applyAlignment="1">
      <alignment horizontal="center" vertical="center" wrapText="1" readingOrder="1"/>
    </xf>
    <xf numFmtId="4" fontId="61" fillId="0" borderId="0" xfId="0" applyNumberFormat="1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vertical="center" wrapText="1" readingOrder="1"/>
    </xf>
    <xf numFmtId="0" fontId="15" fillId="3" borderId="0" xfId="0" applyFont="1" applyFill="1" applyBorder="1" applyAlignment="1">
      <alignment vertical="center" wrapText="1" readingOrder="1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 readingOrder="1"/>
    </xf>
    <xf numFmtId="3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left" vertical="center" wrapText="1"/>
    </xf>
    <xf numFmtId="0" fontId="7" fillId="0" borderId="4" xfId="2" applyFont="1" applyFill="1" applyBorder="1" applyAlignment="1">
      <alignment horizontal="left" vertical="center" wrapText="1"/>
    </xf>
    <xf numFmtId="0" fontId="7" fillId="0" borderId="5" xfId="2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7" xfId="2" applyFont="1" applyFill="1" applyBorder="1" applyAlignment="1">
      <alignment horizontal="center" vertical="center" wrapText="1" readingOrder="1"/>
    </xf>
    <xf numFmtId="0" fontId="7" fillId="0" borderId="8" xfId="2" applyFont="1" applyFill="1" applyBorder="1" applyAlignment="1">
      <alignment horizontal="center" vertical="center" wrapText="1" readingOrder="1"/>
    </xf>
    <xf numFmtId="2" fontId="14" fillId="0" borderId="0" xfId="0" applyNumberFormat="1" applyFont="1" applyAlignment="1">
      <alignment horizontal="center" wrapText="1"/>
    </xf>
    <xf numFmtId="0" fontId="4" fillId="3" borderId="3" xfId="0" applyFont="1" applyFill="1" applyBorder="1" applyAlignment="1">
      <alignment horizontal="center" vertical="center" wrapText="1" readingOrder="1"/>
    </xf>
    <xf numFmtId="0" fontId="4" fillId="3" borderId="5" xfId="0" applyFont="1" applyFill="1" applyBorder="1" applyAlignment="1">
      <alignment horizontal="center" vertical="center" wrapText="1" readingOrder="1"/>
    </xf>
    <xf numFmtId="0" fontId="16" fillId="0" borderId="3" xfId="0" applyFont="1" applyFill="1" applyBorder="1" applyAlignment="1">
      <alignment horizontal="center" vertical="center" wrapText="1" readingOrder="1"/>
    </xf>
    <xf numFmtId="0" fontId="16" fillId="0" borderId="5" xfId="0" applyFont="1" applyFill="1" applyBorder="1" applyAlignment="1">
      <alignment horizontal="center" vertical="center" wrapText="1" readingOrder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 readingOrder="1"/>
    </xf>
    <xf numFmtId="49" fontId="4" fillId="0" borderId="8" xfId="0" applyNumberFormat="1" applyFont="1" applyFill="1" applyBorder="1" applyAlignment="1">
      <alignment horizontal="center" vertical="center" wrapText="1" readingOrder="1"/>
    </xf>
    <xf numFmtId="0" fontId="4" fillId="0" borderId="7" xfId="0" applyFont="1" applyFill="1" applyBorder="1" applyAlignment="1">
      <alignment horizontal="center" vertical="center" wrapText="1" readingOrder="1"/>
    </xf>
    <xf numFmtId="0" fontId="4" fillId="0" borderId="8" xfId="0" applyFont="1" applyFill="1" applyBorder="1" applyAlignment="1">
      <alignment horizontal="center" vertical="center" wrapText="1" readingOrder="1"/>
    </xf>
    <xf numFmtId="0" fontId="4" fillId="0" borderId="6" xfId="0" applyFont="1" applyFill="1" applyBorder="1" applyAlignment="1">
      <alignment horizontal="center" vertical="center" wrapText="1" readingOrder="1"/>
    </xf>
    <xf numFmtId="2" fontId="13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 vertical="top"/>
    </xf>
    <xf numFmtId="0" fontId="2" fillId="0" borderId="7" xfId="0" applyFont="1" applyFill="1" applyBorder="1" applyAlignment="1">
      <alignment horizontal="center" vertical="center" wrapText="1" readingOrder="1"/>
    </xf>
    <xf numFmtId="0" fontId="2" fillId="0" borderId="8" xfId="0" applyFont="1" applyFill="1" applyBorder="1" applyAlignment="1">
      <alignment horizontal="center" vertical="center" wrapText="1" readingOrder="1"/>
    </xf>
    <xf numFmtId="0" fontId="2" fillId="0" borderId="6" xfId="0" applyFont="1" applyFill="1" applyBorder="1" applyAlignment="1">
      <alignment horizontal="center" vertical="center" wrapText="1" readingOrder="1"/>
    </xf>
    <xf numFmtId="0" fontId="2" fillId="0" borderId="3" xfId="3" applyFont="1" applyFill="1" applyBorder="1" applyAlignment="1">
      <alignment horizontal="center" vertical="center" wrapText="1"/>
    </xf>
    <xf numFmtId="0" fontId="2" fillId="0" borderId="5" xfId="3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8" fillId="0" borderId="5" xfId="0" applyFont="1" applyBorder="1" applyAlignment="1">
      <alignment horizontal="center" vertical="center" wrapText="1"/>
    </xf>
    <xf numFmtId="0" fontId="3" fillId="3" borderId="7" xfId="3" applyFont="1" applyFill="1" applyBorder="1" applyAlignment="1">
      <alignment horizontal="center" vertical="center" wrapText="1"/>
    </xf>
    <xf numFmtId="0" fontId="3" fillId="3" borderId="8" xfId="3" applyFont="1" applyFill="1" applyBorder="1" applyAlignment="1">
      <alignment horizontal="center" vertical="center" wrapText="1"/>
    </xf>
    <xf numFmtId="0" fontId="3" fillId="3" borderId="6" xfId="3" applyFont="1" applyFill="1" applyBorder="1" applyAlignment="1">
      <alignment horizontal="center" vertical="center" wrapText="1"/>
    </xf>
    <xf numFmtId="0" fontId="3" fillId="0" borderId="7" xfId="3" applyFont="1" applyFill="1" applyBorder="1" applyAlignment="1">
      <alignment horizontal="center"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3" fillId="0" borderId="6" xfId="3" applyFont="1" applyFill="1" applyBorder="1" applyAlignment="1">
      <alignment horizontal="center" vertical="center" wrapText="1"/>
    </xf>
    <xf numFmtId="0" fontId="2" fillId="3" borderId="7" xfId="3" applyFont="1" applyFill="1" applyBorder="1" applyAlignment="1">
      <alignment horizontal="center" vertical="center"/>
    </xf>
    <xf numFmtId="0" fontId="2" fillId="3" borderId="8" xfId="3" applyFont="1" applyFill="1" applyBorder="1" applyAlignment="1">
      <alignment horizontal="center" vertical="center"/>
    </xf>
    <xf numFmtId="0" fontId="2" fillId="3" borderId="6" xfId="3" applyFont="1" applyFill="1" applyBorder="1" applyAlignment="1">
      <alignment horizontal="center" vertical="center"/>
    </xf>
    <xf numFmtId="0" fontId="2" fillId="10" borderId="3" xfId="3" applyFont="1" applyFill="1" applyBorder="1" applyAlignment="1">
      <alignment horizontal="center" vertical="center" wrapText="1"/>
    </xf>
    <xf numFmtId="0" fontId="2" fillId="10" borderId="5" xfId="3" applyFont="1" applyFill="1" applyBorder="1" applyAlignment="1">
      <alignment horizontal="center" vertical="center" wrapText="1"/>
    </xf>
    <xf numFmtId="0" fontId="2" fillId="10" borderId="3" xfId="1" applyFont="1" applyFill="1" applyBorder="1" applyAlignment="1">
      <alignment horizontal="center" vertical="center" wrapText="1"/>
    </xf>
    <xf numFmtId="0" fontId="2" fillId="10" borderId="5" xfId="1" applyFont="1" applyFill="1" applyBorder="1" applyAlignment="1">
      <alignment horizontal="center" vertical="center" wrapText="1"/>
    </xf>
    <xf numFmtId="0" fontId="2" fillId="4" borderId="3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0" borderId="4" xfId="3" applyFont="1" applyFill="1" applyBorder="1" applyAlignment="1">
      <alignment horizontal="center" vertical="center" wrapText="1"/>
    </xf>
    <xf numFmtId="0" fontId="2" fillId="4" borderId="4" xfId="3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10" borderId="12" xfId="3" applyFont="1" applyFill="1" applyBorder="1" applyAlignment="1">
      <alignment horizontal="center" vertical="center" wrapText="1"/>
    </xf>
    <xf numFmtId="0" fontId="3" fillId="10" borderId="15" xfId="3" applyFont="1" applyFill="1" applyBorder="1" applyAlignment="1">
      <alignment horizontal="center" vertical="center" wrapText="1"/>
    </xf>
    <xf numFmtId="0" fontId="3" fillId="10" borderId="13" xfId="3" applyFont="1" applyFill="1" applyBorder="1" applyAlignment="1">
      <alignment horizontal="center" vertical="center" wrapText="1"/>
    </xf>
    <xf numFmtId="0" fontId="3" fillId="10" borderId="14" xfId="3" applyFont="1" applyFill="1" applyBorder="1" applyAlignment="1">
      <alignment horizontal="center" vertical="center" wrapText="1"/>
    </xf>
    <xf numFmtId="0" fontId="3" fillId="10" borderId="1" xfId="3" applyFont="1" applyFill="1" applyBorder="1" applyAlignment="1">
      <alignment horizontal="center" vertical="center" wrapText="1"/>
    </xf>
    <xf numFmtId="0" fontId="3" fillId="10" borderId="9" xfId="3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wrapText="1"/>
    </xf>
    <xf numFmtId="0" fontId="2" fillId="0" borderId="4" xfId="3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4" borderId="2" xfId="0" applyFill="1" applyBorder="1" applyAlignment="1">
      <alignment horizontal="center" vertical="center" wrapText="1"/>
    </xf>
    <xf numFmtId="0" fontId="68" fillId="0" borderId="4" xfId="0" applyFont="1" applyBorder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" fontId="38" fillId="10" borderId="0" xfId="0" applyNumberFormat="1" applyFont="1" applyFill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2" fontId="14" fillId="0" borderId="0" xfId="0" applyNumberFormat="1" applyFont="1" applyBorder="1" applyAlignment="1">
      <alignment horizontal="center" wrapText="1"/>
    </xf>
    <xf numFmtId="0" fontId="5" fillId="8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39" fillId="4" borderId="2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vertical="center" wrapText="1"/>
    </xf>
    <xf numFmtId="0" fontId="37" fillId="0" borderId="8" xfId="0" applyFont="1" applyFill="1" applyBorder="1" applyAlignment="1">
      <alignment vertical="center" wrapText="1"/>
    </xf>
    <xf numFmtId="0" fontId="37" fillId="0" borderId="6" xfId="0" applyFont="1" applyFill="1" applyBorder="1" applyAlignment="1">
      <alignment vertical="center" wrapText="1"/>
    </xf>
    <xf numFmtId="0" fontId="53" fillId="4" borderId="2" xfId="0" applyFont="1" applyFill="1" applyBorder="1" applyAlignment="1">
      <alignment horizontal="center" vertical="center" wrapText="1"/>
    </xf>
    <xf numFmtId="0" fontId="39" fillId="9" borderId="6" xfId="0" applyFont="1" applyFill="1" applyBorder="1" applyAlignment="1">
      <alignment horizontal="center" vertical="center" wrapText="1"/>
    </xf>
    <xf numFmtId="0" fontId="53" fillId="4" borderId="10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/>
    </xf>
    <xf numFmtId="0" fontId="39" fillId="11" borderId="10" xfId="0" applyFont="1" applyFill="1" applyBorder="1" applyAlignment="1">
      <alignment horizontal="center" vertical="center" wrapText="1"/>
    </xf>
    <xf numFmtId="0" fontId="39" fillId="12" borderId="2" xfId="0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center" vertical="center" wrapText="1"/>
    </xf>
    <xf numFmtId="0" fontId="39" fillId="15" borderId="2" xfId="0" applyFont="1" applyFill="1" applyBorder="1" applyAlignment="1">
      <alignment horizontal="center" vertical="center" wrapText="1"/>
    </xf>
    <xf numFmtId="0" fontId="39" fillId="9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39" fillId="7" borderId="1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2" fontId="14" fillId="0" borderId="0" xfId="0" applyNumberFormat="1" applyFont="1" applyAlignment="1">
      <alignment horizontal="center" vertical="center" wrapText="1"/>
    </xf>
  </cellXfs>
  <cellStyles count="5">
    <cellStyle name="Нейтральный" xfId="4" builtinId="28"/>
    <cellStyle name="Обычный" xfId="0" builtinId="0"/>
    <cellStyle name="Обычный 2" xfId="2"/>
    <cellStyle name="Обычный 2 2" xfId="3"/>
    <cellStyle name="Плохой" xfId="1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E395"/>
  <sheetViews>
    <sheetView zoomScale="70" zoomScaleNormal="70" workbookViewId="0">
      <selection activeCell="L9" sqref="L9"/>
    </sheetView>
  </sheetViews>
  <sheetFormatPr defaultColWidth="9.109375" defaultRowHeight="13.8" x14ac:dyDescent="0.25"/>
  <cols>
    <col min="1" max="1" width="19.44140625" style="1" customWidth="1"/>
    <col min="2" max="2" width="28.6640625" style="1" customWidth="1"/>
    <col min="3" max="3" width="25.6640625" style="1" customWidth="1"/>
    <col min="4" max="4" width="8.6640625" style="1" customWidth="1"/>
    <col min="5" max="5" width="14.6640625" style="2" hidden="1" customWidth="1"/>
    <col min="6" max="6" width="13.33203125" style="2" hidden="1" customWidth="1"/>
    <col min="7" max="7" width="11.6640625" style="2" customWidth="1"/>
    <col min="8" max="8" width="12.88671875" style="1" bestFit="1" customWidth="1"/>
    <col min="9" max="9" width="12.109375" style="1" bestFit="1" customWidth="1"/>
    <col min="10" max="10" width="18.33203125" style="1" customWidth="1"/>
    <col min="11" max="11" width="16" style="1" customWidth="1"/>
    <col min="12" max="12" width="13.88671875" style="1" customWidth="1"/>
    <col min="13" max="13" width="13.5546875" style="1" customWidth="1"/>
    <col min="14" max="14" width="18.88671875" style="1" customWidth="1"/>
    <col min="15" max="15" width="20.88671875" style="1" customWidth="1"/>
    <col min="16" max="16" width="18.33203125" style="1" customWidth="1"/>
    <col min="17" max="17" width="21.88671875" style="1" hidden="1" customWidth="1"/>
    <col min="18" max="18" width="18.109375" style="1" customWidth="1"/>
    <col min="19" max="19" width="18.5546875" style="2" hidden="1" customWidth="1"/>
    <col min="20" max="20" width="17.6640625" style="2" customWidth="1"/>
    <col min="21" max="21" width="19.44140625" style="2" customWidth="1"/>
    <col min="22" max="22" width="14.6640625" style="1" customWidth="1"/>
    <col min="23" max="23" width="18.44140625" style="1" hidden="1" customWidth="1"/>
    <col min="24" max="24" width="16.109375" style="1" hidden="1" customWidth="1"/>
    <col min="25" max="25" width="12.6640625" style="1" hidden="1" customWidth="1"/>
    <col min="26" max="26" width="14.6640625" style="1" hidden="1" customWidth="1"/>
    <col min="27" max="27" width="6.33203125" style="1" hidden="1" customWidth="1"/>
    <col min="28" max="28" width="13.6640625" style="1" hidden="1" customWidth="1"/>
    <col min="29" max="30" width="14.33203125" style="1" hidden="1" customWidth="1"/>
    <col min="31" max="31" width="14.6640625" style="1" hidden="1" customWidth="1"/>
    <col min="32" max="16384" width="9.109375" style="1"/>
  </cols>
  <sheetData>
    <row r="1" spans="1:31" x14ac:dyDescent="0.25">
      <c r="T1" s="3"/>
    </row>
    <row r="2" spans="1:31" x14ac:dyDescent="0.25">
      <c r="R2" s="4" t="s">
        <v>0</v>
      </c>
      <c r="S2" s="3"/>
    </row>
    <row r="3" spans="1:31" x14ac:dyDescent="0.25">
      <c r="R3" s="4" t="s">
        <v>653</v>
      </c>
      <c r="S3" s="3"/>
    </row>
    <row r="4" spans="1:31" x14ac:dyDescent="0.25">
      <c r="A4" s="841" t="s">
        <v>563</v>
      </c>
      <c r="B4" s="841"/>
      <c r="C4" s="841"/>
      <c r="D4" s="841"/>
      <c r="E4" s="841"/>
      <c r="F4" s="841"/>
      <c r="G4" s="841"/>
      <c r="H4" s="841"/>
      <c r="I4" s="841"/>
      <c r="J4" s="841"/>
      <c r="K4" s="841"/>
      <c r="L4" s="841"/>
      <c r="M4" s="841"/>
      <c r="N4" s="841"/>
      <c r="O4" s="841"/>
      <c r="P4" s="841"/>
      <c r="Q4" s="841"/>
      <c r="R4" s="841"/>
      <c r="S4" s="841"/>
      <c r="T4" s="841"/>
      <c r="U4" s="841"/>
    </row>
    <row r="5" spans="1:31" x14ac:dyDescent="0.25">
      <c r="A5" s="842" t="s">
        <v>1</v>
      </c>
      <c r="B5" s="842"/>
      <c r="C5" s="842"/>
      <c r="D5" s="5"/>
      <c r="E5" s="6"/>
      <c r="F5" s="6"/>
      <c r="G5" s="6"/>
      <c r="H5" s="7"/>
      <c r="I5" s="7"/>
      <c r="J5" s="8"/>
      <c r="K5" s="8"/>
      <c r="L5" s="8"/>
      <c r="M5" s="8"/>
      <c r="N5" s="8"/>
      <c r="O5" s="8"/>
      <c r="P5" s="8"/>
      <c r="Q5" s="8"/>
      <c r="R5" s="8"/>
      <c r="S5" s="9"/>
      <c r="T5" s="9"/>
      <c r="U5" s="9"/>
    </row>
    <row r="6" spans="1:31" ht="27.6" customHeight="1" x14ac:dyDescent="0.25">
      <c r="A6" s="843" t="s">
        <v>2</v>
      </c>
      <c r="B6" s="843" t="s">
        <v>3</v>
      </c>
      <c r="C6" s="366" t="s">
        <v>4</v>
      </c>
      <c r="D6" s="843" t="s">
        <v>5</v>
      </c>
      <c r="E6" s="844" t="s">
        <v>6</v>
      </c>
      <c r="F6" s="844"/>
      <c r="G6" s="844"/>
      <c r="H6" s="844"/>
      <c r="I6" s="844"/>
      <c r="J6" s="845" t="s">
        <v>7</v>
      </c>
      <c r="K6" s="845"/>
      <c r="L6" s="845"/>
      <c r="M6" s="845"/>
      <c r="N6" s="846" t="s">
        <v>8</v>
      </c>
      <c r="O6" s="846"/>
      <c r="P6" s="846"/>
      <c r="Q6" s="846"/>
      <c r="R6" s="846"/>
      <c r="S6" s="846"/>
      <c r="T6" s="846"/>
      <c r="U6" s="846"/>
    </row>
    <row r="7" spans="1:31" ht="110.4" x14ac:dyDescent="0.25">
      <c r="A7" s="843"/>
      <c r="B7" s="843"/>
      <c r="C7" s="366"/>
      <c r="D7" s="843"/>
      <c r="E7" s="10" t="s">
        <v>470</v>
      </c>
      <c r="F7" s="11" t="s">
        <v>471</v>
      </c>
      <c r="G7" s="445" t="s">
        <v>556</v>
      </c>
      <c r="H7" s="12" t="s">
        <v>434</v>
      </c>
      <c r="I7" s="12" t="s">
        <v>557</v>
      </c>
      <c r="J7" s="425" t="s">
        <v>9</v>
      </c>
      <c r="K7" s="13" t="s">
        <v>10</v>
      </c>
      <c r="L7" s="777" t="s">
        <v>11</v>
      </c>
      <c r="M7" s="14" t="s">
        <v>12</v>
      </c>
      <c r="N7" s="13" t="s">
        <v>558</v>
      </c>
      <c r="O7" s="13" t="s">
        <v>13</v>
      </c>
      <c r="P7" s="777" t="s">
        <v>14</v>
      </c>
      <c r="Q7" s="13" t="s">
        <v>15</v>
      </c>
      <c r="R7" s="14" t="s">
        <v>16</v>
      </c>
      <c r="S7" s="15" t="s">
        <v>17</v>
      </c>
      <c r="T7" s="15" t="s">
        <v>436</v>
      </c>
      <c r="U7" s="15" t="s">
        <v>559</v>
      </c>
    </row>
    <row r="8" spans="1:31" ht="41.4" customHeight="1" x14ac:dyDescent="0.25">
      <c r="A8" s="16" t="s">
        <v>18</v>
      </c>
      <c r="B8" s="16" t="s">
        <v>18</v>
      </c>
      <c r="C8" s="16"/>
      <c r="D8" s="16" t="s">
        <v>19</v>
      </c>
      <c r="E8" s="17" t="s">
        <v>20</v>
      </c>
      <c r="F8" s="17" t="s">
        <v>20</v>
      </c>
      <c r="G8" s="17"/>
      <c r="H8" s="18" t="s">
        <v>20</v>
      </c>
      <c r="I8" s="18" t="s">
        <v>20</v>
      </c>
      <c r="J8" s="13" t="s">
        <v>21</v>
      </c>
      <c r="K8" s="13" t="s">
        <v>21</v>
      </c>
      <c r="L8" s="13" t="s">
        <v>21</v>
      </c>
      <c r="M8" s="14" t="s">
        <v>21</v>
      </c>
      <c r="N8" s="13" t="s">
        <v>21</v>
      </c>
      <c r="O8" s="13" t="s">
        <v>21</v>
      </c>
      <c r="P8" s="13" t="s">
        <v>21</v>
      </c>
      <c r="Q8" s="13"/>
      <c r="R8" s="14" t="s">
        <v>21</v>
      </c>
      <c r="S8" s="15"/>
      <c r="T8" s="15" t="s">
        <v>21</v>
      </c>
      <c r="U8" s="15" t="s">
        <v>21</v>
      </c>
      <c r="W8" s="398" t="s">
        <v>437</v>
      </c>
      <c r="AB8" s="1" t="s">
        <v>560</v>
      </c>
    </row>
    <row r="9" spans="1:31" ht="76.2" customHeight="1" x14ac:dyDescent="0.25">
      <c r="A9" s="826" t="s">
        <v>22</v>
      </c>
      <c r="B9" s="847" t="s">
        <v>112</v>
      </c>
      <c r="C9" s="22" t="s">
        <v>23</v>
      </c>
      <c r="D9" s="19" t="s">
        <v>24</v>
      </c>
      <c r="E9" s="695">
        <f>296+28</f>
        <v>324</v>
      </c>
      <c r="F9" s="679">
        <f>296-21</f>
        <v>275</v>
      </c>
      <c r="G9" s="445">
        <f>215+60</f>
        <v>275</v>
      </c>
      <c r="H9" s="415">
        <f>217+62</f>
        <v>279</v>
      </c>
      <c r="I9" s="415">
        <f>211+63</f>
        <v>274</v>
      </c>
      <c r="J9" s="14">
        <f>SUM(K9:M9)</f>
        <v>80573.570000000007</v>
      </c>
      <c r="K9" s="14">
        <f>36390.31+2198.86</f>
        <v>38589.17</v>
      </c>
      <c r="L9" s="14">
        <v>12790.33</v>
      </c>
      <c r="M9" s="478">
        <v>29194.07</v>
      </c>
      <c r="N9" s="14">
        <f>SUM(O9:R9)</f>
        <v>22157731.75</v>
      </c>
      <c r="O9" s="13">
        <f>G9*K9</f>
        <v>10612021.75</v>
      </c>
      <c r="P9" s="14">
        <f>G9*L9</f>
        <v>3517340.75</v>
      </c>
      <c r="Q9" s="13"/>
      <c r="R9" s="150">
        <f>G9*M9</f>
        <v>8028369.25</v>
      </c>
      <c r="S9" s="149"/>
      <c r="T9" s="149">
        <f>W9</f>
        <v>22480026.030000001</v>
      </c>
      <c r="U9" s="149">
        <f>AB9</f>
        <v>22077158.18</v>
      </c>
      <c r="W9" s="449">
        <f>SUM(X9:AA9)</f>
        <v>22480026.030000001</v>
      </c>
      <c r="X9" s="395">
        <f>H9*K9</f>
        <v>10766378.43</v>
      </c>
      <c r="Y9" s="14">
        <f>H9*L9</f>
        <v>3568502.07</v>
      </c>
      <c r="Z9" s="395">
        <f>H9*M9</f>
        <v>8145145.5300000003</v>
      </c>
      <c r="AB9" s="449">
        <f>SUM(AC9:AF9)</f>
        <v>22077158.18</v>
      </c>
      <c r="AC9" s="395">
        <f>I9*K9</f>
        <v>10573432.58</v>
      </c>
      <c r="AD9" s="14">
        <f>I9*L9</f>
        <v>3504550.42</v>
      </c>
      <c r="AE9" s="395">
        <f>I9*M9</f>
        <v>7999175.1799999997</v>
      </c>
    </row>
    <row r="10" spans="1:31" ht="82.8" x14ac:dyDescent="0.25">
      <c r="A10" s="827"/>
      <c r="B10" s="848"/>
      <c r="C10" s="405" t="s">
        <v>25</v>
      </c>
      <c r="D10" s="19" t="s">
        <v>24</v>
      </c>
      <c r="E10" s="11" t="s">
        <v>26</v>
      </c>
      <c r="F10" s="11" t="s">
        <v>26</v>
      </c>
      <c r="G10" s="11"/>
      <c r="H10" s="415" t="s">
        <v>26</v>
      </c>
      <c r="I10" s="415" t="s">
        <v>26</v>
      </c>
      <c r="J10" s="415" t="s">
        <v>26</v>
      </c>
      <c r="K10" s="12" t="s">
        <v>26</v>
      </c>
      <c r="L10" s="150" t="s">
        <v>26</v>
      </c>
      <c r="M10" s="150" t="s">
        <v>26</v>
      </c>
      <c r="N10" s="13"/>
      <c r="O10" s="13"/>
      <c r="P10" s="150" t="s">
        <v>26</v>
      </c>
      <c r="Q10" s="150"/>
      <c r="R10" s="150" t="s">
        <v>26</v>
      </c>
      <c r="S10" s="149"/>
      <c r="T10" s="149"/>
      <c r="U10" s="149"/>
    </row>
    <row r="11" spans="1:31" x14ac:dyDescent="0.25">
      <c r="A11" s="827"/>
      <c r="B11" s="848"/>
      <c r="C11" s="405" t="s">
        <v>27</v>
      </c>
      <c r="D11" s="19"/>
      <c r="E11" s="695">
        <v>1</v>
      </c>
      <c r="F11" s="679">
        <v>1</v>
      </c>
      <c r="G11" s="11">
        <v>1</v>
      </c>
      <c r="H11" s="415"/>
      <c r="I11" s="415"/>
      <c r="J11" s="14">
        <f>K11</f>
        <v>148440.13</v>
      </c>
      <c r="K11" s="150">
        <v>148440.13</v>
      </c>
      <c r="L11" s="150" t="s">
        <v>26</v>
      </c>
      <c r="M11" s="150" t="s">
        <v>26</v>
      </c>
      <c r="N11" s="13">
        <f>O11</f>
        <v>148440.13</v>
      </c>
      <c r="O11" s="13">
        <f>G11*K11</f>
        <v>148440.13</v>
      </c>
      <c r="P11" s="150" t="s">
        <v>26</v>
      </c>
      <c r="Q11" s="150"/>
      <c r="R11" s="150" t="s">
        <v>26</v>
      </c>
      <c r="S11" s="149"/>
      <c r="T11" s="149">
        <f>H11*K11</f>
        <v>0</v>
      </c>
      <c r="U11" s="149">
        <f>I11*K11</f>
        <v>0</v>
      </c>
    </row>
    <row r="12" spans="1:31" x14ac:dyDescent="0.25">
      <c r="A12" s="827"/>
      <c r="B12" s="848"/>
      <c r="C12" s="405" t="s">
        <v>28</v>
      </c>
      <c r="D12" s="19"/>
      <c r="E12" s="695">
        <f>24-9</f>
        <v>15</v>
      </c>
      <c r="F12" s="679">
        <f>24-9</f>
        <v>15</v>
      </c>
      <c r="G12" s="11">
        <f>15+5</f>
        <v>20</v>
      </c>
      <c r="H12" s="11">
        <v>24</v>
      </c>
      <c r="I12" s="415">
        <v>24</v>
      </c>
      <c r="J12" s="14">
        <f>K12</f>
        <v>164394.18</v>
      </c>
      <c r="K12" s="14">
        <v>164394.18</v>
      </c>
      <c r="L12" s="150" t="s">
        <v>26</v>
      </c>
      <c r="M12" s="150" t="s">
        <v>26</v>
      </c>
      <c r="N12" s="13">
        <f>O12</f>
        <v>3287883.6</v>
      </c>
      <c r="O12" s="13">
        <f t="shared" ref="O12:O18" si="0">G12*K12</f>
        <v>3287883.6</v>
      </c>
      <c r="P12" s="150" t="s">
        <v>26</v>
      </c>
      <c r="Q12" s="150"/>
      <c r="R12" s="150" t="s">
        <v>26</v>
      </c>
      <c r="S12" s="149"/>
      <c r="T12" s="149">
        <f>H12*K12</f>
        <v>3945460.32</v>
      </c>
      <c r="U12" s="149">
        <f>I12*K12</f>
        <v>3945460.32</v>
      </c>
    </row>
    <row r="13" spans="1:31" x14ac:dyDescent="0.25">
      <c r="A13" s="827"/>
      <c r="B13" s="848"/>
      <c r="C13" s="405" t="s">
        <v>29</v>
      </c>
      <c r="D13" s="19"/>
      <c r="E13" s="695">
        <v>4</v>
      </c>
      <c r="F13" s="679">
        <v>4</v>
      </c>
      <c r="G13" s="11">
        <v>4</v>
      </c>
      <c r="H13" s="11">
        <v>4</v>
      </c>
      <c r="I13" s="415">
        <v>4</v>
      </c>
      <c r="J13" s="14">
        <f t="shared" ref="J13:J18" si="1">K13</f>
        <v>196302.28</v>
      </c>
      <c r="K13" s="150">
        <v>196302.28</v>
      </c>
      <c r="L13" s="150" t="s">
        <v>26</v>
      </c>
      <c r="M13" s="150" t="s">
        <v>26</v>
      </c>
      <c r="N13" s="13">
        <f t="shared" ref="N13:N18" si="2">O13</f>
        <v>785209.12</v>
      </c>
      <c r="O13" s="13">
        <f t="shared" si="0"/>
        <v>785209.12</v>
      </c>
      <c r="P13" s="150" t="s">
        <v>26</v>
      </c>
      <c r="Q13" s="150"/>
      <c r="R13" s="150" t="s">
        <v>26</v>
      </c>
      <c r="S13" s="149"/>
      <c r="T13" s="149">
        <f t="shared" ref="T13:T18" si="3">H13*K13</f>
        <v>785209.12</v>
      </c>
      <c r="U13" s="149">
        <f t="shared" ref="U13:U18" si="4">I13*K13</f>
        <v>785209.12</v>
      </c>
    </row>
    <row r="14" spans="1:31" x14ac:dyDescent="0.25">
      <c r="A14" s="827"/>
      <c r="B14" s="848"/>
      <c r="C14" s="405" t="s">
        <v>30</v>
      </c>
      <c r="D14" s="19"/>
      <c r="E14" s="695">
        <f>31+3</f>
        <v>34</v>
      </c>
      <c r="F14" s="679">
        <f>31+3</f>
        <v>34</v>
      </c>
      <c r="G14" s="11">
        <v>34</v>
      </c>
      <c r="H14" s="11">
        <v>34</v>
      </c>
      <c r="I14" s="415">
        <f>37-2</f>
        <v>35</v>
      </c>
      <c r="J14" s="14">
        <f t="shared" si="1"/>
        <v>162574.21</v>
      </c>
      <c r="K14" s="150">
        <v>162574.21</v>
      </c>
      <c r="L14" s="150" t="s">
        <v>26</v>
      </c>
      <c r="M14" s="150" t="s">
        <v>26</v>
      </c>
      <c r="N14" s="13">
        <f t="shared" si="2"/>
        <v>5527523.1399999997</v>
      </c>
      <c r="O14" s="13">
        <f t="shared" si="0"/>
        <v>5527523.1399999997</v>
      </c>
      <c r="P14" s="150" t="s">
        <v>26</v>
      </c>
      <c r="Q14" s="150"/>
      <c r="R14" s="150" t="s">
        <v>26</v>
      </c>
      <c r="S14" s="149"/>
      <c r="T14" s="149">
        <f t="shared" si="3"/>
        <v>5527523.1399999997</v>
      </c>
      <c r="U14" s="149">
        <f t="shared" si="4"/>
        <v>5690097.3499999996</v>
      </c>
    </row>
    <row r="15" spans="1:31" x14ac:dyDescent="0.25">
      <c r="A15" s="827"/>
      <c r="B15" s="848"/>
      <c r="C15" s="405" t="s">
        <v>31</v>
      </c>
      <c r="D15" s="19"/>
      <c r="E15" s="695">
        <v>1</v>
      </c>
      <c r="F15" s="679">
        <f>2-1</f>
        <v>1</v>
      </c>
      <c r="G15" s="11">
        <v>1</v>
      </c>
      <c r="H15" s="415"/>
      <c r="I15" s="415"/>
      <c r="J15" s="14">
        <f t="shared" si="1"/>
        <v>180348.22</v>
      </c>
      <c r="K15" s="150">
        <v>180348.22</v>
      </c>
      <c r="L15" s="150" t="s">
        <v>26</v>
      </c>
      <c r="M15" s="150" t="s">
        <v>26</v>
      </c>
      <c r="N15" s="13">
        <f t="shared" si="2"/>
        <v>180348.22</v>
      </c>
      <c r="O15" s="13">
        <f t="shared" si="0"/>
        <v>180348.22</v>
      </c>
      <c r="P15" s="150" t="s">
        <v>26</v>
      </c>
      <c r="Q15" s="150"/>
      <c r="R15" s="150" t="s">
        <v>26</v>
      </c>
      <c r="S15" s="149"/>
      <c r="T15" s="149">
        <f t="shared" si="3"/>
        <v>0</v>
      </c>
      <c r="U15" s="149">
        <f t="shared" si="4"/>
        <v>0</v>
      </c>
    </row>
    <row r="16" spans="1:31" x14ac:dyDescent="0.25">
      <c r="A16" s="827"/>
      <c r="B16" s="848"/>
      <c r="C16" s="405" t="s">
        <v>32</v>
      </c>
      <c r="D16" s="19"/>
      <c r="E16" s="11"/>
      <c r="F16" s="11"/>
      <c r="G16" s="11">
        <v>0</v>
      </c>
      <c r="H16" s="415"/>
      <c r="I16" s="415"/>
      <c r="J16" s="14">
        <f t="shared" si="1"/>
        <v>204279.3</v>
      </c>
      <c r="K16" s="150">
        <v>204279.3</v>
      </c>
      <c r="L16" s="150"/>
      <c r="M16" s="150"/>
      <c r="N16" s="13">
        <f t="shared" si="2"/>
        <v>0</v>
      </c>
      <c r="O16" s="13">
        <f t="shared" si="0"/>
        <v>0</v>
      </c>
      <c r="P16" s="150" t="s">
        <v>26</v>
      </c>
      <c r="Q16" s="150"/>
      <c r="R16" s="150" t="s">
        <v>26</v>
      </c>
      <c r="S16" s="149"/>
      <c r="T16" s="149">
        <f t="shared" si="3"/>
        <v>0</v>
      </c>
      <c r="U16" s="149">
        <f t="shared" si="4"/>
        <v>0</v>
      </c>
    </row>
    <row r="17" spans="1:31" x14ac:dyDescent="0.25">
      <c r="A17" s="827"/>
      <c r="B17" s="848"/>
      <c r="C17" s="405" t="s">
        <v>33</v>
      </c>
      <c r="D17" s="19"/>
      <c r="E17" s="11"/>
      <c r="F17" s="11"/>
      <c r="G17" s="11">
        <v>0</v>
      </c>
      <c r="H17" s="415"/>
      <c r="I17" s="415"/>
      <c r="J17" s="14">
        <f t="shared" si="1"/>
        <v>202178.64</v>
      </c>
      <c r="K17" s="150">
        <v>202178.64</v>
      </c>
      <c r="L17" s="150" t="s">
        <v>26</v>
      </c>
      <c r="M17" s="150" t="s">
        <v>26</v>
      </c>
      <c r="N17" s="13">
        <f t="shared" si="2"/>
        <v>0</v>
      </c>
      <c r="O17" s="13">
        <f t="shared" si="0"/>
        <v>0</v>
      </c>
      <c r="P17" s="150" t="s">
        <v>26</v>
      </c>
      <c r="Q17" s="150"/>
      <c r="R17" s="150" t="s">
        <v>26</v>
      </c>
      <c r="S17" s="149"/>
      <c r="T17" s="149">
        <f t="shared" si="3"/>
        <v>0</v>
      </c>
      <c r="U17" s="149">
        <f t="shared" si="4"/>
        <v>0</v>
      </c>
    </row>
    <row r="18" spans="1:31" x14ac:dyDescent="0.25">
      <c r="A18" s="827"/>
      <c r="B18" s="848"/>
      <c r="C18" s="405" t="s">
        <v>34</v>
      </c>
      <c r="D18" s="19"/>
      <c r="E18" s="11"/>
      <c r="F18" s="11"/>
      <c r="G18" s="11">
        <v>0</v>
      </c>
      <c r="H18" s="415"/>
      <c r="I18" s="415"/>
      <c r="J18" s="14">
        <f t="shared" si="1"/>
        <v>146900.85999999999</v>
      </c>
      <c r="K18" s="150">
        <v>146900.85999999999</v>
      </c>
      <c r="L18" s="150" t="s">
        <v>26</v>
      </c>
      <c r="M18" s="150" t="s">
        <v>26</v>
      </c>
      <c r="N18" s="13">
        <f t="shared" si="2"/>
        <v>0</v>
      </c>
      <c r="O18" s="13">
        <f t="shared" si="0"/>
        <v>0</v>
      </c>
      <c r="P18" s="150" t="s">
        <v>26</v>
      </c>
      <c r="Q18" s="150"/>
      <c r="R18" s="150" t="s">
        <v>26</v>
      </c>
      <c r="S18" s="149"/>
      <c r="T18" s="149">
        <f t="shared" si="3"/>
        <v>0</v>
      </c>
      <c r="U18" s="149">
        <f t="shared" si="4"/>
        <v>0</v>
      </c>
    </row>
    <row r="19" spans="1:31" ht="82.95" customHeight="1" x14ac:dyDescent="0.25">
      <c r="A19" s="827"/>
      <c r="B19" s="848"/>
      <c r="C19" s="405" t="s">
        <v>35</v>
      </c>
      <c r="D19" s="19" t="s">
        <v>24</v>
      </c>
      <c r="E19" s="11">
        <v>2</v>
      </c>
      <c r="F19" s="680">
        <f>2-1</f>
        <v>1</v>
      </c>
      <c r="G19" s="11">
        <v>2</v>
      </c>
      <c r="H19" s="415">
        <f>1</f>
        <v>1</v>
      </c>
      <c r="I19" s="415">
        <f>1</f>
        <v>1</v>
      </c>
      <c r="J19" s="150">
        <f>SUM(K19:M19)</f>
        <v>489299.83</v>
      </c>
      <c r="K19" s="150">
        <f>445116.57+2198.86</f>
        <v>447315.43</v>
      </c>
      <c r="L19" s="14">
        <v>12790.33</v>
      </c>
      <c r="M19" s="478">
        <v>29194.07</v>
      </c>
      <c r="N19" s="14">
        <f>SUM(O19:R19)</f>
        <v>978599.66</v>
      </c>
      <c r="O19" s="14">
        <f>G19*K19</f>
        <v>894630.86</v>
      </c>
      <c r="P19" s="14">
        <f>G19*L19</f>
        <v>25580.66</v>
      </c>
      <c r="Q19" s="14"/>
      <c r="R19" s="150">
        <f>G19*M19</f>
        <v>58388.14</v>
      </c>
      <c r="S19" s="149"/>
      <c r="T19" s="149">
        <f>H19*J19</f>
        <v>489299.83</v>
      </c>
      <c r="U19" s="149">
        <f>I19*J19</f>
        <v>489299.83</v>
      </c>
      <c r="Y19" s="25"/>
    </row>
    <row r="20" spans="1:31" ht="18.75" customHeight="1" x14ac:dyDescent="0.25">
      <c r="A20" s="827"/>
      <c r="B20" s="848"/>
      <c r="C20" s="24" t="s">
        <v>36</v>
      </c>
      <c r="D20" s="19" t="s">
        <v>37</v>
      </c>
      <c r="E20" s="11">
        <v>12</v>
      </c>
      <c r="F20" s="11">
        <v>11</v>
      </c>
      <c r="G20" s="11">
        <v>11</v>
      </c>
      <c r="H20" s="415">
        <v>12</v>
      </c>
      <c r="I20" s="415">
        <v>12</v>
      </c>
      <c r="J20" s="150">
        <f>SUM(K20:M20)</f>
        <v>234360</v>
      </c>
      <c r="K20" s="150">
        <f>10000*1.5*1.302*12</f>
        <v>234360</v>
      </c>
      <c r="L20" s="384"/>
      <c r="M20" s="14"/>
      <c r="N20" s="14">
        <f>SUM(O20:R20)</f>
        <v>2577960</v>
      </c>
      <c r="O20" s="14">
        <f>G20*K20</f>
        <v>2577960</v>
      </c>
      <c r="P20" s="14"/>
      <c r="Q20" s="14"/>
      <c r="R20" s="150"/>
      <c r="S20" s="149"/>
      <c r="T20" s="149">
        <f>H20*K20-2812320</f>
        <v>0</v>
      </c>
      <c r="U20" s="149">
        <f>I20*K20-2812320</f>
        <v>0</v>
      </c>
    </row>
    <row r="21" spans="1:31" ht="24" customHeight="1" x14ac:dyDescent="0.25">
      <c r="A21" s="827"/>
      <c r="B21" s="849"/>
      <c r="C21" s="417" t="s">
        <v>38</v>
      </c>
      <c r="D21" s="19"/>
      <c r="E21" s="605">
        <f>E9+E19</f>
        <v>326</v>
      </c>
      <c r="F21" s="682">
        <f>F9+F19</f>
        <v>276</v>
      </c>
      <c r="G21" s="681">
        <f>G9+G19</f>
        <v>277</v>
      </c>
      <c r="H21" s="754">
        <f>H9+H19</f>
        <v>280</v>
      </c>
      <c r="I21" s="754">
        <f>I9+I19</f>
        <v>275</v>
      </c>
      <c r="J21" s="13" t="s">
        <v>26</v>
      </c>
      <c r="K21" s="13" t="s">
        <v>26</v>
      </c>
      <c r="L21" s="13" t="s">
        <v>26</v>
      </c>
      <c r="M21" s="14" t="s">
        <v>26</v>
      </c>
      <c r="N21" s="418">
        <f>SUM(N9:N20)</f>
        <v>35643695.619999997</v>
      </c>
      <c r="O21" s="418">
        <f t="shared" ref="O21:U21" si="5">SUM(O9:O20)</f>
        <v>24014016.82</v>
      </c>
      <c r="P21" s="418">
        <f t="shared" si="5"/>
        <v>3542921.41</v>
      </c>
      <c r="Q21" s="418">
        <f t="shared" si="5"/>
        <v>0</v>
      </c>
      <c r="R21" s="772">
        <f t="shared" si="5"/>
        <v>8086757.3899999997</v>
      </c>
      <c r="S21" s="418">
        <f t="shared" si="5"/>
        <v>0</v>
      </c>
      <c r="T21" s="418">
        <f t="shared" si="5"/>
        <v>33227518.440000001</v>
      </c>
      <c r="U21" s="418">
        <f t="shared" si="5"/>
        <v>32987224.800000001</v>
      </c>
      <c r="X21" s="25"/>
    </row>
    <row r="22" spans="1:31" ht="75" customHeight="1" x14ac:dyDescent="0.25">
      <c r="A22" s="827"/>
      <c r="B22" s="829" t="s">
        <v>114</v>
      </c>
      <c r="C22" s="22" t="s">
        <v>23</v>
      </c>
      <c r="D22" s="19" t="s">
        <v>24</v>
      </c>
      <c r="E22" s="11">
        <f>358+11</f>
        <v>369</v>
      </c>
      <c r="F22" s="679">
        <f>358+11</f>
        <v>369</v>
      </c>
      <c r="G22" s="11">
        <f>349+17</f>
        <v>366</v>
      </c>
      <c r="H22" s="415">
        <f>349+18</f>
        <v>367</v>
      </c>
      <c r="I22" s="415">
        <f>352+17</f>
        <v>369</v>
      </c>
      <c r="J22" s="14">
        <f>SUM(K22:M22)</f>
        <v>98880.29</v>
      </c>
      <c r="K22" s="14">
        <f>54145.32+2750.57</f>
        <v>56895.89</v>
      </c>
      <c r="L22" s="14">
        <v>12790.33</v>
      </c>
      <c r="M22" s="478">
        <v>29194.07</v>
      </c>
      <c r="N22" s="14">
        <f>SUM(O22:R22)</f>
        <v>36190186.140000001</v>
      </c>
      <c r="O22" s="14">
        <f>G22*K22</f>
        <v>20823895.739999998</v>
      </c>
      <c r="P22" s="14">
        <f>G22*L22</f>
        <v>4681260.78</v>
      </c>
      <c r="Q22" s="150"/>
      <c r="R22" s="150">
        <f>G22*M22</f>
        <v>10685029.619999999</v>
      </c>
      <c r="S22" s="149"/>
      <c r="T22" s="149">
        <f>W22</f>
        <v>36289066.43</v>
      </c>
      <c r="U22" s="149">
        <f>AB22</f>
        <v>36486827.009999998</v>
      </c>
      <c r="W22" s="449">
        <f>SUM(X22:AA22)</f>
        <v>36289066.43</v>
      </c>
      <c r="X22" s="395">
        <f>H22*K22</f>
        <v>20880791.629999999</v>
      </c>
      <c r="Y22" s="14">
        <f>H22*L22</f>
        <v>4694051.1100000003</v>
      </c>
      <c r="Z22" s="395">
        <f>H22*M22</f>
        <v>10714223.689999999</v>
      </c>
      <c r="AB22" s="449">
        <f>SUM(AC22:AF22)</f>
        <v>36486827.009999998</v>
      </c>
      <c r="AC22" s="395">
        <f>I22*K22</f>
        <v>20994583.41</v>
      </c>
      <c r="AD22" s="14">
        <f>I22*L22</f>
        <v>4719631.7699999996</v>
      </c>
      <c r="AE22" s="395">
        <f>I22*M22</f>
        <v>10772611.83</v>
      </c>
    </row>
    <row r="23" spans="1:31" ht="82.8" x14ac:dyDescent="0.25">
      <c r="A23" s="827"/>
      <c r="B23" s="830"/>
      <c r="C23" s="22" t="s">
        <v>39</v>
      </c>
      <c r="D23" s="19" t="s">
        <v>24</v>
      </c>
      <c r="E23" s="11" t="s">
        <v>26</v>
      </c>
      <c r="F23" s="11" t="s">
        <v>26</v>
      </c>
      <c r="G23" s="11" t="s">
        <v>26</v>
      </c>
      <c r="H23" s="415" t="s">
        <v>26</v>
      </c>
      <c r="I23" s="415" t="s">
        <v>26</v>
      </c>
      <c r="J23" s="12" t="s">
        <v>26</v>
      </c>
      <c r="K23" s="12" t="s">
        <v>26</v>
      </c>
      <c r="L23" s="12" t="s">
        <v>26</v>
      </c>
      <c r="M23" s="415"/>
      <c r="N23" s="13"/>
      <c r="O23" s="13"/>
      <c r="P23" s="12" t="s">
        <v>26</v>
      </c>
      <c r="Q23" s="12"/>
      <c r="R23" s="415" t="s">
        <v>26</v>
      </c>
      <c r="S23" s="10"/>
      <c r="T23" s="149"/>
      <c r="U23" s="149"/>
    </row>
    <row r="24" spans="1:31" x14ac:dyDescent="0.25">
      <c r="A24" s="827"/>
      <c r="B24" s="830"/>
      <c r="C24" s="22" t="s">
        <v>29</v>
      </c>
      <c r="D24" s="19" t="s">
        <v>24</v>
      </c>
      <c r="E24" s="693">
        <f>4</f>
        <v>4</v>
      </c>
      <c r="F24" s="692">
        <f>4-1</f>
        <v>3</v>
      </c>
      <c r="G24" s="11">
        <v>4</v>
      </c>
      <c r="H24" s="606">
        <v>4</v>
      </c>
      <c r="I24" s="606">
        <v>4</v>
      </c>
      <c r="J24" s="13">
        <f t="shared" ref="J24:J29" si="6">K24</f>
        <v>119806.54</v>
      </c>
      <c r="K24" s="150">
        <v>119806.54</v>
      </c>
      <c r="L24" s="12" t="s">
        <v>26</v>
      </c>
      <c r="M24" s="415" t="s">
        <v>26</v>
      </c>
      <c r="N24" s="13">
        <f t="shared" ref="N24:N27" si="7">O24</f>
        <v>479226.16</v>
      </c>
      <c r="O24" s="13">
        <f>G24*K24</f>
        <v>479226.16</v>
      </c>
      <c r="P24" s="12" t="s">
        <v>26</v>
      </c>
      <c r="Q24" s="12"/>
      <c r="R24" s="415" t="s">
        <v>26</v>
      </c>
      <c r="S24" s="10"/>
      <c r="T24" s="149">
        <f t="shared" ref="T24:T27" si="8">H24*K24</f>
        <v>479226.16</v>
      </c>
      <c r="U24" s="149">
        <f t="shared" ref="U24:U27" si="9">I24*K24</f>
        <v>479226.16</v>
      </c>
    </row>
    <row r="25" spans="1:31" x14ac:dyDescent="0.25">
      <c r="A25" s="827"/>
      <c r="B25" s="830"/>
      <c r="C25" s="22" t="s">
        <v>31</v>
      </c>
      <c r="D25" s="19" t="s">
        <v>24</v>
      </c>
      <c r="E25" s="606">
        <v>3</v>
      </c>
      <c r="F25" s="692">
        <f>2+1</f>
        <v>3</v>
      </c>
      <c r="G25" s="11">
        <f>3+2</f>
        <v>5</v>
      </c>
      <c r="H25" s="606">
        <f>3+3</f>
        <v>6</v>
      </c>
      <c r="I25" s="606">
        <f>3+2</f>
        <v>5</v>
      </c>
      <c r="J25" s="13">
        <f t="shared" si="6"/>
        <v>310708.38</v>
      </c>
      <c r="K25" s="150">
        <v>310708.38</v>
      </c>
      <c r="L25" s="12" t="s">
        <v>26</v>
      </c>
      <c r="M25" s="415" t="s">
        <v>26</v>
      </c>
      <c r="N25" s="13">
        <f t="shared" si="7"/>
        <v>1553541.9</v>
      </c>
      <c r="O25" s="13">
        <f t="shared" ref="O25:O27" si="10">G25*K25</f>
        <v>1553541.9</v>
      </c>
      <c r="P25" s="12" t="s">
        <v>26</v>
      </c>
      <c r="Q25" s="12"/>
      <c r="R25" s="415" t="s">
        <v>26</v>
      </c>
      <c r="S25" s="10"/>
      <c r="T25" s="149">
        <f t="shared" si="8"/>
        <v>1864250.28</v>
      </c>
      <c r="U25" s="149">
        <f t="shared" si="9"/>
        <v>1553541.9</v>
      </c>
    </row>
    <row r="26" spans="1:31" x14ac:dyDescent="0.25">
      <c r="A26" s="827"/>
      <c r="B26" s="830"/>
      <c r="C26" s="22" t="s">
        <v>33</v>
      </c>
      <c r="D26" s="19" t="s">
        <v>24</v>
      </c>
      <c r="E26" s="606">
        <v>1</v>
      </c>
      <c r="F26" s="683">
        <v>1</v>
      </c>
      <c r="G26" s="11">
        <v>1</v>
      </c>
      <c r="H26" s="606">
        <v>1</v>
      </c>
      <c r="I26" s="606">
        <v>1</v>
      </c>
      <c r="J26" s="13">
        <f t="shared" si="6"/>
        <v>26113.16</v>
      </c>
      <c r="K26" s="150">
        <v>26113.16</v>
      </c>
      <c r="L26" s="12" t="s">
        <v>26</v>
      </c>
      <c r="M26" s="415" t="s">
        <v>26</v>
      </c>
      <c r="N26" s="13">
        <f t="shared" si="7"/>
        <v>26113.16</v>
      </c>
      <c r="O26" s="13">
        <f t="shared" si="10"/>
        <v>26113.16</v>
      </c>
      <c r="P26" s="12" t="s">
        <v>26</v>
      </c>
      <c r="Q26" s="12"/>
      <c r="R26" s="415" t="s">
        <v>26</v>
      </c>
      <c r="S26" s="10"/>
      <c r="T26" s="149">
        <f t="shared" si="8"/>
        <v>26113.16</v>
      </c>
      <c r="U26" s="149">
        <f t="shared" si="9"/>
        <v>26113.16</v>
      </c>
    </row>
    <row r="27" spans="1:31" x14ac:dyDescent="0.25">
      <c r="A27" s="827"/>
      <c r="B27" s="830"/>
      <c r="C27" s="22" t="s">
        <v>34</v>
      </c>
      <c r="D27" s="19" t="s">
        <v>24</v>
      </c>
      <c r="E27" s="693">
        <f>5+1</f>
        <v>6</v>
      </c>
      <c r="F27" s="683">
        <f>2+7</f>
        <v>9</v>
      </c>
      <c r="G27" s="11">
        <v>7</v>
      </c>
      <c r="H27" s="606">
        <v>7</v>
      </c>
      <c r="I27" s="606">
        <v>7</v>
      </c>
      <c r="J27" s="13">
        <f t="shared" si="6"/>
        <v>18697.54</v>
      </c>
      <c r="K27" s="150">
        <v>18697.54</v>
      </c>
      <c r="L27" s="12" t="s">
        <v>26</v>
      </c>
      <c r="M27" s="415" t="s">
        <v>26</v>
      </c>
      <c r="N27" s="13">
        <f t="shared" si="7"/>
        <v>130882.78</v>
      </c>
      <c r="O27" s="13">
        <f t="shared" si="10"/>
        <v>130882.78</v>
      </c>
      <c r="P27" s="12" t="s">
        <v>26</v>
      </c>
      <c r="Q27" s="12"/>
      <c r="R27" s="415" t="s">
        <v>26</v>
      </c>
      <c r="S27" s="10"/>
      <c r="T27" s="149">
        <f t="shared" si="8"/>
        <v>130882.78</v>
      </c>
      <c r="U27" s="149">
        <f t="shared" si="9"/>
        <v>130882.78</v>
      </c>
    </row>
    <row r="28" spans="1:31" ht="82.95" customHeight="1" x14ac:dyDescent="0.25">
      <c r="A28" s="827"/>
      <c r="B28" s="831"/>
      <c r="C28" s="22" t="s">
        <v>35</v>
      </c>
      <c r="D28" s="19" t="s">
        <v>24</v>
      </c>
      <c r="E28" s="606">
        <f>4</f>
        <v>4</v>
      </c>
      <c r="F28" s="683">
        <f>4-1</f>
        <v>3</v>
      </c>
      <c r="G28" s="11">
        <v>4</v>
      </c>
      <c r="H28" s="606">
        <f>5-4</f>
        <v>1</v>
      </c>
      <c r="I28" s="606">
        <f>2-1</f>
        <v>1</v>
      </c>
      <c r="J28" s="13">
        <f t="shared" si="6"/>
        <v>504480.39</v>
      </c>
      <c r="K28" s="150">
        <f>501729.82+2750.57</f>
        <v>504480.39</v>
      </c>
      <c r="L28" s="14">
        <v>12790.33</v>
      </c>
      <c r="M28" s="478">
        <v>29194.07</v>
      </c>
      <c r="N28" s="14">
        <f>SUM(O28:R28)</f>
        <v>2185859.16</v>
      </c>
      <c r="O28" s="14">
        <f>G28*K28</f>
        <v>2017921.56</v>
      </c>
      <c r="P28" s="14">
        <f>G28*L28</f>
        <v>51161.32</v>
      </c>
      <c r="Q28" s="150"/>
      <c r="R28" s="150">
        <f>G28*M28</f>
        <v>116776.28</v>
      </c>
      <c r="S28" s="149"/>
      <c r="T28" s="149">
        <f>W28</f>
        <v>546464.79</v>
      </c>
      <c r="U28" s="149">
        <f>AB28</f>
        <v>546464.79</v>
      </c>
      <c r="W28" s="449">
        <f>SUM(X28:AA28)</f>
        <v>546464.79</v>
      </c>
      <c r="X28" s="395">
        <f>H28*K28</f>
        <v>504480.39</v>
      </c>
      <c r="Y28" s="14">
        <f>H28*L28</f>
        <v>12790.33</v>
      </c>
      <c r="Z28" s="395">
        <f>H28*M28</f>
        <v>29194.07</v>
      </c>
      <c r="AB28" s="449">
        <f>SUM(AC28:AF28)</f>
        <v>546464.79</v>
      </c>
      <c r="AC28" s="395">
        <f>I28*K28</f>
        <v>504480.39</v>
      </c>
      <c r="AD28" s="14">
        <f>I28*L28</f>
        <v>12790.33</v>
      </c>
      <c r="AE28" s="395">
        <f>I28*M28</f>
        <v>29194.07</v>
      </c>
    </row>
    <row r="29" spans="1:31" x14ac:dyDescent="0.25">
      <c r="A29" s="827"/>
      <c r="B29" s="402"/>
      <c r="C29" s="419" t="s">
        <v>36</v>
      </c>
      <c r="D29" s="19" t="s">
        <v>37</v>
      </c>
      <c r="E29" s="606">
        <v>15</v>
      </c>
      <c r="F29" s="606">
        <f>14+1</f>
        <v>15</v>
      </c>
      <c r="G29" s="11">
        <v>15</v>
      </c>
      <c r="H29" s="606">
        <f>14+1</f>
        <v>15</v>
      </c>
      <c r="I29" s="606">
        <f>14+1</f>
        <v>15</v>
      </c>
      <c r="J29" s="13">
        <f t="shared" si="6"/>
        <v>234360</v>
      </c>
      <c r="K29" s="395">
        <f>10000*1.5*1.302*12</f>
        <v>234360</v>
      </c>
      <c r="L29" s="384"/>
      <c r="M29" s="14"/>
      <c r="N29" s="14">
        <f>SUM(O29:R29)</f>
        <v>3515400</v>
      </c>
      <c r="O29" s="478">
        <f>G29*K29</f>
        <v>3515400</v>
      </c>
      <c r="P29" s="14"/>
      <c r="Q29" s="150"/>
      <c r="R29" s="150"/>
      <c r="S29" s="149"/>
      <c r="T29" s="150">
        <f>H29*K29-3515400</f>
        <v>0</v>
      </c>
      <c r="U29" s="150">
        <f>I29*K29-3515400</f>
        <v>0</v>
      </c>
    </row>
    <row r="30" spans="1:31" ht="23.4" customHeight="1" x14ac:dyDescent="0.25">
      <c r="A30" s="827"/>
      <c r="B30" s="402"/>
      <c r="C30" s="420" t="s">
        <v>38</v>
      </c>
      <c r="D30" s="19"/>
      <c r="E30" s="607">
        <f>E22+E28</f>
        <v>373</v>
      </c>
      <c r="F30" s="692">
        <f>F22+F28</f>
        <v>372</v>
      </c>
      <c r="G30" s="685">
        <f>G22+G28</f>
        <v>370</v>
      </c>
      <c r="H30" s="757">
        <f>H22+H28</f>
        <v>368</v>
      </c>
      <c r="I30" s="757">
        <f>I22+I28</f>
        <v>370</v>
      </c>
      <c r="J30" s="12" t="s">
        <v>26</v>
      </c>
      <c r="K30" s="12" t="s">
        <v>26</v>
      </c>
      <c r="L30" s="12" t="s">
        <v>26</v>
      </c>
      <c r="M30" s="415" t="s">
        <v>26</v>
      </c>
      <c r="N30" s="413">
        <f>SUM(N22:N29)</f>
        <v>44081209.299999997</v>
      </c>
      <c r="O30" s="413">
        <f t="shared" ref="O30:U30" si="11">SUM(O22:O29)</f>
        <v>28546981.300000001</v>
      </c>
      <c r="P30" s="413">
        <f t="shared" si="11"/>
        <v>4732422.0999999996</v>
      </c>
      <c r="Q30" s="413">
        <f t="shared" si="11"/>
        <v>0</v>
      </c>
      <c r="R30" s="645">
        <f t="shared" si="11"/>
        <v>10801805.9</v>
      </c>
      <c r="S30" s="413">
        <f t="shared" si="11"/>
        <v>0</v>
      </c>
      <c r="T30" s="413">
        <f t="shared" si="11"/>
        <v>39336003.600000001</v>
      </c>
      <c r="U30" s="413">
        <f t="shared" si="11"/>
        <v>39223055.799999997</v>
      </c>
    </row>
    <row r="31" spans="1:31" ht="74.400000000000006" customHeight="1" x14ac:dyDescent="0.25">
      <c r="A31" s="827"/>
      <c r="B31" s="829" t="s">
        <v>113</v>
      </c>
      <c r="C31" s="22" t="s">
        <v>23</v>
      </c>
      <c r="D31" s="19" t="s">
        <v>24</v>
      </c>
      <c r="E31" s="606">
        <f>47-1</f>
        <v>46</v>
      </c>
      <c r="F31" s="683">
        <f>47-12</f>
        <v>35</v>
      </c>
      <c r="G31" s="11">
        <v>35</v>
      </c>
      <c r="H31" s="444">
        <v>42</v>
      </c>
      <c r="I31" s="444">
        <v>50</v>
      </c>
      <c r="J31" s="14">
        <f>SUM(K31:M31)</f>
        <v>114855.91</v>
      </c>
      <c r="K31" s="14">
        <f>70145.11+2726.4</f>
        <v>72871.509999999995</v>
      </c>
      <c r="L31" s="14">
        <v>12790.33</v>
      </c>
      <c r="M31" s="478">
        <v>29194.07</v>
      </c>
      <c r="N31" s="150">
        <f>SUM(O31:R31)</f>
        <v>4019956.85</v>
      </c>
      <c r="O31" s="150">
        <f>G31*K31</f>
        <v>2550502.85</v>
      </c>
      <c r="P31" s="14">
        <f>G31*L31</f>
        <v>447661.55</v>
      </c>
      <c r="Q31" s="150"/>
      <c r="R31" s="150">
        <f>G31*M31</f>
        <v>1021792.45</v>
      </c>
      <c r="S31" s="149"/>
      <c r="T31" s="149">
        <f>W31</f>
        <v>4823948.22</v>
      </c>
      <c r="U31" s="149">
        <f>AB31</f>
        <v>5742795.5</v>
      </c>
      <c r="W31" s="449">
        <f>SUM(X31:AA31)</f>
        <v>4823948.22</v>
      </c>
      <c r="X31" s="395">
        <f>H31*K31</f>
        <v>3060603.42</v>
      </c>
      <c r="Y31" s="14">
        <f>H31*L31</f>
        <v>537193.86</v>
      </c>
      <c r="Z31" s="395">
        <f>H31*M31</f>
        <v>1226150.94</v>
      </c>
      <c r="AB31" s="449">
        <f>SUM(AC31:AF31)</f>
        <v>5742795.5</v>
      </c>
      <c r="AC31" s="395">
        <f>I31*K31</f>
        <v>3643575.5</v>
      </c>
      <c r="AD31" s="14">
        <f>I31*L31</f>
        <v>639516.5</v>
      </c>
      <c r="AE31" s="395">
        <f>I31*M31</f>
        <v>1459703.5</v>
      </c>
    </row>
    <row r="32" spans="1:31" ht="82.8" x14ac:dyDescent="0.25">
      <c r="A32" s="827"/>
      <c r="B32" s="830"/>
      <c r="C32" s="405" t="s">
        <v>39</v>
      </c>
      <c r="D32" s="19" t="s">
        <v>24</v>
      </c>
      <c r="E32" s="11" t="s">
        <v>26</v>
      </c>
      <c r="F32" s="11" t="s">
        <v>26</v>
      </c>
      <c r="G32" s="11" t="s">
        <v>26</v>
      </c>
      <c r="H32" s="415" t="s">
        <v>26</v>
      </c>
      <c r="I32" s="415" t="s">
        <v>26</v>
      </c>
      <c r="J32" s="415" t="s">
        <v>26</v>
      </c>
      <c r="K32" s="415" t="s">
        <v>26</v>
      </c>
      <c r="L32" s="415" t="s">
        <v>26</v>
      </c>
      <c r="M32" s="415" t="s">
        <v>26</v>
      </c>
      <c r="N32" s="13"/>
      <c r="O32" s="13"/>
      <c r="P32" s="12" t="s">
        <v>26</v>
      </c>
      <c r="Q32" s="12"/>
      <c r="R32" s="415" t="s">
        <v>26</v>
      </c>
      <c r="S32" s="10"/>
      <c r="T32" s="149"/>
      <c r="U32" s="149"/>
    </row>
    <row r="33" spans="1:31" ht="20.399999999999999" customHeight="1" x14ac:dyDescent="0.25">
      <c r="A33" s="827"/>
      <c r="B33" s="830"/>
      <c r="C33" s="405" t="s">
        <v>29</v>
      </c>
      <c r="D33" s="19" t="s">
        <v>24</v>
      </c>
      <c r="E33" s="11">
        <v>1</v>
      </c>
      <c r="F33" s="679">
        <v>1</v>
      </c>
      <c r="G33" s="681">
        <v>1</v>
      </c>
      <c r="H33" s="415">
        <v>0</v>
      </c>
      <c r="I33" s="415">
        <v>0</v>
      </c>
      <c r="J33" s="13">
        <f>K33</f>
        <v>122576.58</v>
      </c>
      <c r="K33" s="150">
        <v>122576.58</v>
      </c>
      <c r="L33" s="12" t="s">
        <v>26</v>
      </c>
      <c r="M33" s="415" t="s">
        <v>26</v>
      </c>
      <c r="N33" s="13">
        <f>O33</f>
        <v>122576.58</v>
      </c>
      <c r="O33" s="478">
        <f>G33*K33</f>
        <v>122576.58</v>
      </c>
      <c r="P33" s="12" t="s">
        <v>26</v>
      </c>
      <c r="Q33" s="12"/>
      <c r="R33" s="415" t="s">
        <v>26</v>
      </c>
      <c r="S33" s="10"/>
      <c r="T33" s="149">
        <f>H33*K33</f>
        <v>0</v>
      </c>
      <c r="U33" s="149">
        <f>I33*K33</f>
        <v>0</v>
      </c>
    </row>
    <row r="34" spans="1:31" ht="82.95" customHeight="1" x14ac:dyDescent="0.25">
      <c r="A34" s="827"/>
      <c r="B34" s="830"/>
      <c r="C34" s="405" t="s">
        <v>35</v>
      </c>
      <c r="D34" s="19" t="s">
        <v>24</v>
      </c>
      <c r="E34" s="606">
        <v>1</v>
      </c>
      <c r="F34" s="683">
        <v>1</v>
      </c>
      <c r="G34" s="11">
        <v>1</v>
      </c>
      <c r="H34" s="444">
        <v>0</v>
      </c>
      <c r="I34" s="444">
        <v>0</v>
      </c>
      <c r="J34" s="384">
        <f>SUM(K34:M34)</f>
        <v>601841.6</v>
      </c>
      <c r="K34" s="150">
        <f>557130.8+2726.4</f>
        <v>559857.19999999995</v>
      </c>
      <c r="L34" s="14">
        <v>12790.33</v>
      </c>
      <c r="M34" s="478">
        <v>29194.07</v>
      </c>
      <c r="N34" s="14">
        <f>SUM(O34:R34)</f>
        <v>601841.6</v>
      </c>
      <c r="O34" s="640">
        <f>G34*K34</f>
        <v>559857.19999999995</v>
      </c>
      <c r="P34" s="14">
        <f>G34*L34</f>
        <v>12790.33</v>
      </c>
      <c r="Q34" s="150"/>
      <c r="R34" s="150">
        <f>G34*M34</f>
        <v>29194.07</v>
      </c>
      <c r="S34" s="149"/>
      <c r="T34" s="149">
        <f>W34</f>
        <v>0</v>
      </c>
      <c r="U34" s="149">
        <f>AB34</f>
        <v>0</v>
      </c>
      <c r="W34" s="449">
        <f>SUM(X34:AA34)</f>
        <v>0</v>
      </c>
      <c r="X34" s="395">
        <f>H34*K34</f>
        <v>0</v>
      </c>
      <c r="Y34" s="14">
        <f>H34*L34</f>
        <v>0</v>
      </c>
      <c r="Z34" s="395">
        <f>H34*M34</f>
        <v>0</v>
      </c>
      <c r="AB34" s="449">
        <f>SUM(AC34:AF34)</f>
        <v>0</v>
      </c>
      <c r="AC34" s="395">
        <f>I34*K34</f>
        <v>0</v>
      </c>
      <c r="AD34" s="14">
        <f>I34*L34</f>
        <v>0</v>
      </c>
      <c r="AE34" s="395">
        <f>I34*M34</f>
        <v>0</v>
      </c>
    </row>
    <row r="35" spans="1:31" ht="82.8" x14ac:dyDescent="0.25">
      <c r="A35" s="827"/>
      <c r="B35" s="831"/>
      <c r="C35" s="405" t="s">
        <v>40</v>
      </c>
      <c r="D35" s="19" t="s">
        <v>24</v>
      </c>
      <c r="E35" s="606">
        <f>28-2</f>
        <v>26</v>
      </c>
      <c r="F35" s="683">
        <f>28-4</f>
        <v>24</v>
      </c>
      <c r="G35" s="11">
        <f>25+7</f>
        <v>32</v>
      </c>
      <c r="H35" s="444">
        <f>28+7</f>
        <v>35</v>
      </c>
      <c r="I35" s="444">
        <v>25</v>
      </c>
      <c r="J35" s="384">
        <f>SUM(K35:M35)</f>
        <v>105797.74</v>
      </c>
      <c r="K35" s="150">
        <f>61086.94+2726.4</f>
        <v>63813.34</v>
      </c>
      <c r="L35" s="14">
        <v>12790.33</v>
      </c>
      <c r="M35" s="478">
        <v>29194.07</v>
      </c>
      <c r="N35" s="150">
        <f>SUM(O35:R35)</f>
        <v>3385527.68</v>
      </c>
      <c r="O35" s="395">
        <f>G35*K35</f>
        <v>2042026.88</v>
      </c>
      <c r="P35" s="14">
        <f>G35*L35</f>
        <v>409290.56</v>
      </c>
      <c r="Q35" s="415" t="s">
        <v>26</v>
      </c>
      <c r="R35" s="14">
        <f>G35*M35</f>
        <v>934210.24</v>
      </c>
      <c r="S35" s="11" t="s">
        <v>26</v>
      </c>
      <c r="T35" s="149">
        <f>W35</f>
        <v>3702920.9</v>
      </c>
      <c r="U35" s="149">
        <f>AB35</f>
        <v>2644943.5</v>
      </c>
      <c r="W35" s="449">
        <f>SUM(X35:AA35)</f>
        <v>3702920.9</v>
      </c>
      <c r="X35" s="395">
        <f>H35*K35</f>
        <v>2233466.9</v>
      </c>
      <c r="Y35" s="14">
        <f>H35*L35</f>
        <v>447661.55</v>
      </c>
      <c r="Z35" s="395">
        <f>H35*M35</f>
        <v>1021792.45</v>
      </c>
      <c r="AB35" s="449">
        <f>SUM(AC35:AF35)</f>
        <v>2644943.5</v>
      </c>
      <c r="AC35" s="395">
        <f>I35*K35</f>
        <v>1595333.5</v>
      </c>
      <c r="AD35" s="14">
        <f>I35*L35</f>
        <v>319758.25</v>
      </c>
      <c r="AE35" s="395">
        <f>I35*M35</f>
        <v>729851.75</v>
      </c>
    </row>
    <row r="36" spans="1:31" x14ac:dyDescent="0.25">
      <c r="A36" s="827"/>
      <c r="B36" s="403"/>
      <c r="C36" s="416" t="s">
        <v>36</v>
      </c>
      <c r="D36" s="19" t="s">
        <v>37</v>
      </c>
      <c r="E36" s="606">
        <v>4</v>
      </c>
      <c r="F36" s="606">
        <v>4</v>
      </c>
      <c r="G36" s="11">
        <v>4</v>
      </c>
      <c r="H36" s="444">
        <v>4</v>
      </c>
      <c r="I36" s="444">
        <v>4</v>
      </c>
      <c r="J36" s="395">
        <f>K36+L36</f>
        <v>234360</v>
      </c>
      <c r="K36" s="395">
        <f>10000*1.5*1.302*12</f>
        <v>234360</v>
      </c>
      <c r="L36" s="384"/>
      <c r="M36" s="14"/>
      <c r="N36" s="150">
        <f>SUM(O36:R36)</f>
        <v>937440</v>
      </c>
      <c r="O36" s="449">
        <f>G36*K36</f>
        <v>937440</v>
      </c>
      <c r="P36" s="13"/>
      <c r="Q36" s="12"/>
      <c r="R36" s="14"/>
      <c r="S36" s="10"/>
      <c r="T36" s="340">
        <f>H36*K36-937440</f>
        <v>0</v>
      </c>
      <c r="U36" s="340">
        <f>I36*K36-937440</f>
        <v>0</v>
      </c>
    </row>
    <row r="37" spans="1:31" ht="25.95" customHeight="1" x14ac:dyDescent="0.25">
      <c r="A37" s="827"/>
      <c r="B37" s="402"/>
      <c r="C37" s="417" t="s">
        <v>38</v>
      </c>
      <c r="D37" s="19"/>
      <c r="E37" s="607">
        <f>E31+E34+E35</f>
        <v>73</v>
      </c>
      <c r="F37" s="692">
        <f>F31+F34+F35</f>
        <v>60</v>
      </c>
      <c r="G37" s="685">
        <f>G31+G33+G34+G35</f>
        <v>69</v>
      </c>
      <c r="H37" s="685">
        <f>H31+H33+H34+H35</f>
        <v>77</v>
      </c>
      <c r="I37" s="685">
        <f>I31+I33+I34+I35</f>
        <v>75</v>
      </c>
      <c r="J37" s="395" t="s">
        <v>26</v>
      </c>
      <c r="K37" s="395" t="s">
        <v>26</v>
      </c>
      <c r="L37" s="395" t="s">
        <v>26</v>
      </c>
      <c r="M37" s="150" t="s">
        <v>26</v>
      </c>
      <c r="N37" s="413">
        <f>SUM(N31:N36)</f>
        <v>9067342.7100000009</v>
      </c>
      <c r="O37" s="413">
        <f t="shared" ref="O37:U37" si="12">SUM(O31:O36)</f>
        <v>6212403.5099999998</v>
      </c>
      <c r="P37" s="413">
        <f t="shared" si="12"/>
        <v>869742.44</v>
      </c>
      <c r="Q37" s="413">
        <f t="shared" si="12"/>
        <v>0</v>
      </c>
      <c r="R37" s="645">
        <f t="shared" si="12"/>
        <v>1985196.76</v>
      </c>
      <c r="S37" s="413">
        <f t="shared" si="12"/>
        <v>0</v>
      </c>
      <c r="T37" s="413">
        <f t="shared" si="12"/>
        <v>8526869.1199999992</v>
      </c>
      <c r="U37" s="413">
        <f t="shared" si="12"/>
        <v>8387739</v>
      </c>
    </row>
    <row r="38" spans="1:31" ht="52.2" customHeight="1" x14ac:dyDescent="0.25">
      <c r="A38" s="827"/>
      <c r="B38" s="834" t="s">
        <v>115</v>
      </c>
      <c r="C38" s="832" t="s">
        <v>41</v>
      </c>
      <c r="D38" s="19" t="s">
        <v>24</v>
      </c>
      <c r="E38" s="693">
        <f>1250+225-118+112</f>
        <v>1469</v>
      </c>
      <c r="F38" s="691">
        <f>1199+270</f>
        <v>1469</v>
      </c>
      <c r="G38" s="785">
        <v>1469</v>
      </c>
      <c r="H38" s="691">
        <f>1250+225</f>
        <v>1475</v>
      </c>
      <c r="I38" s="691">
        <f>1250+227</f>
        <v>1477</v>
      </c>
      <c r="J38" s="150">
        <f>K38</f>
        <v>5125.76</v>
      </c>
      <c r="K38" s="150">
        <v>5125.76</v>
      </c>
      <c r="L38" s="395" t="s">
        <v>26</v>
      </c>
      <c r="M38" s="150" t="s">
        <v>26</v>
      </c>
      <c r="N38" s="395">
        <f>SUM(O38:R38)</f>
        <v>7529741.4400000004</v>
      </c>
      <c r="O38" s="150">
        <f>G38*K38</f>
        <v>7529741.4400000004</v>
      </c>
      <c r="P38" s="395" t="s">
        <v>26</v>
      </c>
      <c r="Q38" s="395"/>
      <c r="R38" s="150" t="s">
        <v>26</v>
      </c>
      <c r="S38" s="396"/>
      <c r="T38" s="149">
        <f>H38*K38</f>
        <v>7560496</v>
      </c>
      <c r="U38" s="149">
        <f>I38*K38</f>
        <v>7570747.5199999996</v>
      </c>
      <c r="W38" s="759" t="s">
        <v>575</v>
      </c>
      <c r="AC38" s="1" t="s">
        <v>42</v>
      </c>
    </row>
    <row r="39" spans="1:31" ht="52.95" customHeight="1" x14ac:dyDescent="0.25">
      <c r="A39" s="827"/>
      <c r="B39" s="835"/>
      <c r="C39" s="833"/>
      <c r="D39" s="392" t="s">
        <v>232</v>
      </c>
      <c r="E39" s="610">
        <f>159907</f>
        <v>159907</v>
      </c>
      <c r="F39" s="698">
        <v>202619</v>
      </c>
      <c r="G39" s="696">
        <f>202619+1231</f>
        <v>203850</v>
      </c>
      <c r="H39" s="701">
        <f>162164+42356</f>
        <v>204520</v>
      </c>
      <c r="I39" s="701">
        <f>162100+42910</f>
        <v>205010</v>
      </c>
      <c r="J39" s="393">
        <f>K39</f>
        <v>36.94</v>
      </c>
      <c r="K39" s="394">
        <f>N39/G39</f>
        <v>36.94</v>
      </c>
      <c r="L39" s="393" t="s">
        <v>26</v>
      </c>
      <c r="M39" s="394" t="s">
        <v>26</v>
      </c>
      <c r="N39" s="394">
        <f>N38</f>
        <v>7529741.4400000004</v>
      </c>
      <c r="O39" s="393">
        <f>O38</f>
        <v>7529741.4400000004</v>
      </c>
      <c r="P39" s="393" t="s">
        <v>26</v>
      </c>
      <c r="Q39" s="393"/>
      <c r="R39" s="394" t="s">
        <v>26</v>
      </c>
      <c r="S39" s="393"/>
      <c r="T39" s="393">
        <f>(T38/G39)*H39</f>
        <v>7585345.3099999996</v>
      </c>
      <c r="U39" s="393">
        <f>U38/G39*I39</f>
        <v>7613828.5499999998</v>
      </c>
    </row>
    <row r="40" spans="1:31" ht="24" customHeight="1" x14ac:dyDescent="0.25">
      <c r="A40" s="827"/>
      <c r="B40" s="390"/>
      <c r="C40" s="420" t="s">
        <v>38</v>
      </c>
      <c r="D40" s="19" t="s">
        <v>24</v>
      </c>
      <c r="E40" s="606">
        <f>SUM(E38:E38)</f>
        <v>1469</v>
      </c>
      <c r="F40" s="606">
        <f>SUM(F38:F38)</f>
        <v>1469</v>
      </c>
      <c r="G40" s="445">
        <f>G38</f>
        <v>1469</v>
      </c>
      <c r="H40" s="691">
        <f>SUM(H38:H38)</f>
        <v>1475</v>
      </c>
      <c r="I40" s="691">
        <f>SUM(I38:I38)</f>
        <v>1477</v>
      </c>
      <c r="J40" s="395" t="s">
        <v>26</v>
      </c>
      <c r="K40" s="395" t="s">
        <v>26</v>
      </c>
      <c r="L40" s="395" t="s">
        <v>26</v>
      </c>
      <c r="M40" s="150">
        <f t="shared" ref="M40:U40" si="13">SUM(M38:M38)</f>
        <v>0</v>
      </c>
      <c r="N40" s="153">
        <f t="shared" si="13"/>
        <v>7529741.4400000004</v>
      </c>
      <c r="O40" s="395">
        <f t="shared" si="13"/>
        <v>7529741.4400000004</v>
      </c>
      <c r="P40" s="395">
        <f t="shared" si="13"/>
        <v>0</v>
      </c>
      <c r="Q40" s="395"/>
      <c r="R40" s="150">
        <f t="shared" si="13"/>
        <v>0</v>
      </c>
      <c r="S40" s="396"/>
      <c r="T40" s="396">
        <f t="shared" si="13"/>
        <v>7560496</v>
      </c>
      <c r="U40" s="396">
        <f t="shared" si="13"/>
        <v>7570747.5199999996</v>
      </c>
    </row>
    <row r="41" spans="1:31" ht="27.6" x14ac:dyDescent="0.25">
      <c r="A41" s="827"/>
      <c r="B41" s="416" t="s">
        <v>474</v>
      </c>
      <c r="C41" s="27" t="s">
        <v>44</v>
      </c>
      <c r="D41" s="19" t="s">
        <v>24</v>
      </c>
      <c r="E41" s="606">
        <v>1</v>
      </c>
      <c r="F41" s="606">
        <v>1</v>
      </c>
      <c r="G41" s="11">
        <v>1</v>
      </c>
      <c r="H41" s="444">
        <v>0</v>
      </c>
      <c r="I41" s="444">
        <v>0</v>
      </c>
      <c r="J41" s="395">
        <f>K41+L41+M41</f>
        <v>234469.4</v>
      </c>
      <c r="K41" s="395"/>
      <c r="L41" s="150">
        <v>234469.4</v>
      </c>
      <c r="M41" s="150"/>
      <c r="N41" s="395">
        <f>P41</f>
        <v>234469.4</v>
      </c>
      <c r="O41" s="395"/>
      <c r="P41" s="395">
        <f>G41*L41</f>
        <v>234469.4</v>
      </c>
      <c r="Q41" s="395"/>
      <c r="R41" s="150"/>
      <c r="S41" s="396"/>
      <c r="T41" s="396">
        <f>H41*L41</f>
        <v>0</v>
      </c>
      <c r="U41" s="396">
        <f>I41*L41</f>
        <v>0</v>
      </c>
    </row>
    <row r="42" spans="1:31" ht="27.6" x14ac:dyDescent="0.25">
      <c r="A42" s="827"/>
      <c r="B42" s="408" t="s">
        <v>45</v>
      </c>
      <c r="C42" s="27" t="s">
        <v>44</v>
      </c>
      <c r="D42" s="19" t="s">
        <v>46</v>
      </c>
      <c r="E42" s="606">
        <f>14+3</f>
        <v>17</v>
      </c>
      <c r="F42" s="606">
        <f>14+3</f>
        <v>17</v>
      </c>
      <c r="G42" s="11">
        <v>17</v>
      </c>
      <c r="H42" s="444">
        <f>14+3</f>
        <v>17</v>
      </c>
      <c r="I42" s="444">
        <f>14+3</f>
        <v>17</v>
      </c>
      <c r="J42" s="395" t="s">
        <v>26</v>
      </c>
      <c r="K42" s="395" t="s">
        <v>26</v>
      </c>
      <c r="L42" s="150">
        <v>316440.09999999998</v>
      </c>
      <c r="M42" s="150"/>
      <c r="N42" s="395">
        <f>P42</f>
        <v>5379481.7000000002</v>
      </c>
      <c r="O42" s="395"/>
      <c r="P42" s="395">
        <f>G42*L42</f>
        <v>5379481.7000000002</v>
      </c>
      <c r="Q42" s="395"/>
      <c r="R42" s="150"/>
      <c r="S42" s="396"/>
      <c r="T42" s="396">
        <f>H42*L42</f>
        <v>5379481.7000000002</v>
      </c>
      <c r="U42" s="396">
        <f>I42*L42</f>
        <v>5379481.7000000002</v>
      </c>
    </row>
    <row r="43" spans="1:31" ht="13.95" hidden="1" customHeight="1" x14ac:dyDescent="0.25">
      <c r="A43" s="827"/>
      <c r="B43" s="407"/>
      <c r="C43" s="27"/>
      <c r="D43" s="19"/>
      <c r="E43" s="606"/>
      <c r="F43" s="606"/>
      <c r="G43" s="11"/>
      <c r="H43" s="444"/>
      <c r="I43" s="444"/>
      <c r="J43" s="395"/>
      <c r="K43" s="395"/>
      <c r="L43" s="395"/>
      <c r="M43" s="150"/>
      <c r="N43" s="395"/>
      <c r="O43" s="395"/>
      <c r="P43" s="395"/>
      <c r="Q43" s="395"/>
      <c r="R43" s="150"/>
      <c r="S43" s="396"/>
      <c r="T43" s="396">
        <f>Q43</f>
        <v>0</v>
      </c>
      <c r="U43" s="396">
        <f>T43</f>
        <v>0</v>
      </c>
    </row>
    <row r="44" spans="1:31" ht="13.95" hidden="1" customHeight="1" x14ac:dyDescent="0.25">
      <c r="A44" s="827"/>
      <c r="B44" s="407"/>
      <c r="C44" s="27"/>
      <c r="D44" s="19"/>
      <c r="E44" s="606"/>
      <c r="F44" s="606"/>
      <c r="G44" s="11"/>
      <c r="H44" s="415"/>
      <c r="I44" s="415"/>
      <c r="J44" s="395"/>
      <c r="K44" s="395"/>
      <c r="L44" s="395"/>
      <c r="M44" s="150"/>
      <c r="N44" s="395">
        <f>S44</f>
        <v>0</v>
      </c>
      <c r="O44" s="395"/>
      <c r="P44" s="395"/>
      <c r="Q44" s="395"/>
      <c r="R44" s="150"/>
      <c r="S44" s="396"/>
      <c r="T44" s="396"/>
      <c r="U44" s="396"/>
    </row>
    <row r="45" spans="1:31" ht="19.2" customHeight="1" x14ac:dyDescent="0.25">
      <c r="A45" s="827"/>
      <c r="B45" s="407" t="s">
        <v>47</v>
      </c>
      <c r="C45" s="27" t="s">
        <v>44</v>
      </c>
      <c r="D45" s="19"/>
      <c r="E45" s="606">
        <v>31</v>
      </c>
      <c r="F45" s="606">
        <v>30</v>
      </c>
      <c r="G45" s="11">
        <v>30</v>
      </c>
      <c r="H45" s="415">
        <v>31</v>
      </c>
      <c r="I45" s="415">
        <v>31</v>
      </c>
      <c r="J45" s="395"/>
      <c r="K45" s="395"/>
      <c r="L45" s="395"/>
      <c r="M45" s="150"/>
      <c r="N45" s="150">
        <f>SUM(O45:R45)</f>
        <v>7030800</v>
      </c>
      <c r="O45" s="449">
        <f>O20+O29+O36</f>
        <v>7030800</v>
      </c>
      <c r="P45" s="395"/>
      <c r="Q45" s="395"/>
      <c r="R45" s="150"/>
      <c r="S45" s="396"/>
      <c r="T45" s="340">
        <f>T20+T29+T36</f>
        <v>0</v>
      </c>
      <c r="U45" s="340">
        <f>U20+U29+U36</f>
        <v>0</v>
      </c>
    </row>
    <row r="46" spans="1:31" hidden="1" x14ac:dyDescent="0.25">
      <c r="A46" s="827"/>
      <c r="B46" s="407" t="s">
        <v>48</v>
      </c>
      <c r="C46" s="27" t="s">
        <v>44</v>
      </c>
      <c r="D46" s="19"/>
      <c r="E46" s="606"/>
      <c r="F46" s="606"/>
      <c r="G46" s="11"/>
      <c r="H46" s="444"/>
      <c r="I46" s="444"/>
      <c r="J46" s="395"/>
      <c r="K46" s="395"/>
      <c r="L46" s="395"/>
      <c r="M46" s="150"/>
      <c r="N46" s="395">
        <f>O46</f>
        <v>0</v>
      </c>
      <c r="O46" s="395"/>
      <c r="P46" s="395"/>
      <c r="Q46" s="395"/>
      <c r="R46" s="150"/>
      <c r="S46" s="396"/>
      <c r="T46" s="396">
        <f>O46</f>
        <v>0</v>
      </c>
      <c r="U46" s="396">
        <f>T46</f>
        <v>0</v>
      </c>
    </row>
    <row r="47" spans="1:31" hidden="1" x14ac:dyDescent="0.25">
      <c r="A47" s="827"/>
      <c r="B47" s="407" t="s">
        <v>49</v>
      </c>
      <c r="C47" s="27" t="s">
        <v>44</v>
      </c>
      <c r="D47" s="19"/>
      <c r="E47" s="606"/>
      <c r="F47" s="606"/>
      <c r="G47" s="11"/>
      <c r="H47" s="444"/>
      <c r="I47" s="444"/>
      <c r="J47" s="395"/>
      <c r="K47" s="395"/>
      <c r="L47" s="395"/>
      <c r="M47" s="150"/>
      <c r="N47" s="395">
        <f>P47</f>
        <v>0</v>
      </c>
      <c r="O47" s="395"/>
      <c r="P47" s="395"/>
      <c r="Q47" s="395"/>
      <c r="R47" s="150"/>
      <c r="S47" s="396"/>
      <c r="T47" s="396"/>
      <c r="U47" s="396">
        <f>T47</f>
        <v>0</v>
      </c>
    </row>
    <row r="48" spans="1:31" ht="19.2" customHeight="1" x14ac:dyDescent="0.25">
      <c r="A48" s="828"/>
      <c r="B48" s="406" t="s">
        <v>50</v>
      </c>
      <c r="C48" s="423"/>
      <c r="D48" s="409"/>
      <c r="E48" s="607">
        <f>E21+E30+E37</f>
        <v>772</v>
      </c>
      <c r="F48" s="700">
        <f>F21+F30+F37</f>
        <v>708</v>
      </c>
      <c r="G48" s="685">
        <f>G21+G30+G37</f>
        <v>716</v>
      </c>
      <c r="H48" s="757">
        <f>H21+H30+H37</f>
        <v>725</v>
      </c>
      <c r="I48" s="757">
        <f>I21+I30+I37</f>
        <v>720</v>
      </c>
      <c r="J48" s="413"/>
      <c r="K48" s="413"/>
      <c r="L48" s="413"/>
      <c r="M48" s="153"/>
      <c r="N48" s="413">
        <f>SUM(O48:S48)</f>
        <v>101935940.17</v>
      </c>
      <c r="O48" s="413">
        <f>O21+O30+O37+O40+O46</f>
        <v>66303143.07</v>
      </c>
      <c r="P48" s="413">
        <f>P21+P30+P37+P40+P41+P42+P43+P47</f>
        <v>14759037.050000001</v>
      </c>
      <c r="Q48" s="413">
        <f>Q21+Q30+Q37+Q40+Q41+Q42+Q43</f>
        <v>0</v>
      </c>
      <c r="R48" s="645">
        <f>R21+R30+R37+R40+R41+R42+R43+R44</f>
        <v>20873760.050000001</v>
      </c>
      <c r="S48" s="422">
        <f>S21+S30+S37+S40+S41+S42+S43+S44</f>
        <v>0</v>
      </c>
      <c r="T48" s="422">
        <f>T21+T30+T37+T40+T41+T42+T43+T44+T46+T47+0.01</f>
        <v>94030368.870000005</v>
      </c>
      <c r="U48" s="422">
        <f>U21+U30+U37+U40+U41+U42+U43+U44+U46+U47+0.01</f>
        <v>93548248.829999998</v>
      </c>
      <c r="X48" s="25"/>
      <c r="Y48" s="25"/>
      <c r="AB48" s="25"/>
    </row>
    <row r="49" spans="1:31" ht="75" customHeight="1" x14ac:dyDescent="0.25">
      <c r="A49" s="838" t="s">
        <v>51</v>
      </c>
      <c r="B49" s="829" t="s">
        <v>311</v>
      </c>
      <c r="C49" s="22" t="s">
        <v>23</v>
      </c>
      <c r="D49" s="400" t="s">
        <v>24</v>
      </c>
      <c r="E49" s="11">
        <v>232</v>
      </c>
      <c r="F49" s="679">
        <v>199</v>
      </c>
      <c r="G49" s="11">
        <f>166+33</f>
        <v>199</v>
      </c>
      <c r="H49" s="415">
        <f>200+45</f>
        <v>245</v>
      </c>
      <c r="I49" s="415">
        <f>200+45</f>
        <v>245</v>
      </c>
      <c r="J49" s="384">
        <f>SUM(K49:M49)</f>
        <v>81620.210000000006</v>
      </c>
      <c r="K49" s="14">
        <f>36390.31+2198.86</f>
        <v>38589.17</v>
      </c>
      <c r="L49" s="14">
        <v>13836.97</v>
      </c>
      <c r="M49" s="478">
        <v>29194.07</v>
      </c>
      <c r="N49" s="13">
        <f>SUM(O49:R49)</f>
        <v>16242421.789999999</v>
      </c>
      <c r="O49" s="13">
        <f>G49*K49</f>
        <v>7679244.8300000001</v>
      </c>
      <c r="P49" s="478">
        <f>G49*L49</f>
        <v>2753557.03</v>
      </c>
      <c r="Q49" s="14"/>
      <c r="R49" s="150">
        <f>G49*M49</f>
        <v>5809619.9299999997</v>
      </c>
      <c r="S49" s="149"/>
      <c r="T49" s="149">
        <f>W49</f>
        <v>19996951.449999999</v>
      </c>
      <c r="U49" s="149">
        <f>AB49</f>
        <v>19996951.449999999</v>
      </c>
      <c r="W49" s="449">
        <f>SUM(X49:AA49)</f>
        <v>19996951.449999999</v>
      </c>
      <c r="X49" s="395">
        <f>H49*K49</f>
        <v>9454346.6500000004</v>
      </c>
      <c r="Y49" s="14">
        <f>H49*L49</f>
        <v>3390057.65</v>
      </c>
      <c r="Z49" s="395">
        <f>H49*M49</f>
        <v>7152547.1500000004</v>
      </c>
      <c r="AB49" s="449">
        <f>SUM(AC49:AF49)</f>
        <v>19996951.449999999</v>
      </c>
      <c r="AC49" s="395">
        <f>I49*K49</f>
        <v>9454346.6500000004</v>
      </c>
      <c r="AD49" s="14">
        <f>I49*L49</f>
        <v>3390057.65</v>
      </c>
      <c r="AE49" s="395">
        <f>I49*M49</f>
        <v>7152547.1500000004</v>
      </c>
    </row>
    <row r="50" spans="1:31" ht="82.8" x14ac:dyDescent="0.25">
      <c r="A50" s="839"/>
      <c r="B50" s="830"/>
      <c r="C50" s="405" t="s">
        <v>25</v>
      </c>
      <c r="D50" s="400" t="s">
        <v>24</v>
      </c>
      <c r="E50" s="10" t="s">
        <v>26</v>
      </c>
      <c r="F50" s="10" t="s">
        <v>26</v>
      </c>
      <c r="G50" s="11" t="s">
        <v>26</v>
      </c>
      <c r="H50" s="415" t="s">
        <v>26</v>
      </c>
      <c r="I50" s="415" t="s">
        <v>26</v>
      </c>
      <c r="J50" s="12" t="s">
        <v>26</v>
      </c>
      <c r="K50" s="12" t="s">
        <v>26</v>
      </c>
      <c r="L50" s="12" t="s">
        <v>26</v>
      </c>
      <c r="M50" s="415" t="s">
        <v>26</v>
      </c>
      <c r="N50" s="13"/>
      <c r="O50" s="13"/>
      <c r="P50" s="12" t="s">
        <v>26</v>
      </c>
      <c r="Q50" s="12"/>
      <c r="R50" s="415" t="s">
        <v>26</v>
      </c>
      <c r="S50" s="10"/>
      <c r="T50" s="149"/>
      <c r="U50" s="149"/>
    </row>
    <row r="51" spans="1:31" x14ac:dyDescent="0.25">
      <c r="A51" s="839"/>
      <c r="B51" s="830"/>
      <c r="C51" s="405" t="s">
        <v>27</v>
      </c>
      <c r="D51" s="400" t="s">
        <v>24</v>
      </c>
      <c r="E51" s="11">
        <v>1</v>
      </c>
      <c r="F51" s="679">
        <v>1</v>
      </c>
      <c r="G51" s="11">
        <v>1</v>
      </c>
      <c r="H51" s="415">
        <v>1</v>
      </c>
      <c r="I51" s="415">
        <v>1</v>
      </c>
      <c r="J51" s="150">
        <f t="shared" ref="J51:J58" si="14">K51</f>
        <v>148440.13</v>
      </c>
      <c r="K51" s="14">
        <v>148440.13</v>
      </c>
      <c r="L51" s="12" t="s">
        <v>26</v>
      </c>
      <c r="M51" s="415" t="s">
        <v>26</v>
      </c>
      <c r="N51" s="13">
        <f t="shared" ref="N51:N58" si="15">O51</f>
        <v>148440.13</v>
      </c>
      <c r="O51" s="13">
        <f>G51*K51</f>
        <v>148440.13</v>
      </c>
      <c r="P51" s="12" t="s">
        <v>26</v>
      </c>
      <c r="Q51" s="12"/>
      <c r="R51" s="415" t="s">
        <v>26</v>
      </c>
      <c r="S51" s="10"/>
      <c r="T51" s="149">
        <f t="shared" ref="T51:T58" si="16">H51*K51</f>
        <v>148440.13</v>
      </c>
      <c r="U51" s="149">
        <f t="shared" ref="U51:U58" si="17">I51*K51</f>
        <v>148440.13</v>
      </c>
    </row>
    <row r="52" spans="1:31" x14ac:dyDescent="0.25">
      <c r="A52" s="839"/>
      <c r="B52" s="830"/>
      <c r="C52" s="405" t="s">
        <v>28</v>
      </c>
      <c r="D52" s="400" t="s">
        <v>24</v>
      </c>
      <c r="E52" s="11">
        <v>15</v>
      </c>
      <c r="F52" s="679">
        <f>15-5</f>
        <v>10</v>
      </c>
      <c r="G52" s="11">
        <v>10</v>
      </c>
      <c r="H52" s="415">
        <f>20</f>
        <v>20</v>
      </c>
      <c r="I52" s="415">
        <f>20</f>
        <v>20</v>
      </c>
      <c r="J52" s="150">
        <f t="shared" si="14"/>
        <v>164394.18</v>
      </c>
      <c r="K52" s="14">
        <v>164394.18</v>
      </c>
      <c r="L52" s="12" t="s">
        <v>26</v>
      </c>
      <c r="M52" s="415" t="s">
        <v>26</v>
      </c>
      <c r="N52" s="13">
        <f t="shared" si="15"/>
        <v>1643941.8</v>
      </c>
      <c r="O52" s="13">
        <f>G52*K52</f>
        <v>1643941.8</v>
      </c>
      <c r="P52" s="12" t="s">
        <v>26</v>
      </c>
      <c r="Q52" s="12"/>
      <c r="R52" s="415" t="s">
        <v>26</v>
      </c>
      <c r="S52" s="10"/>
      <c r="T52" s="149">
        <f t="shared" si="16"/>
        <v>3287883.6</v>
      </c>
      <c r="U52" s="149">
        <f t="shared" si="17"/>
        <v>3287883.6</v>
      </c>
    </row>
    <row r="53" spans="1:31" x14ac:dyDescent="0.25">
      <c r="A53" s="839"/>
      <c r="B53" s="830"/>
      <c r="C53" s="405" t="s">
        <v>29</v>
      </c>
      <c r="D53" s="400" t="s">
        <v>24</v>
      </c>
      <c r="E53" s="11">
        <v>1</v>
      </c>
      <c r="F53" s="679">
        <v>1</v>
      </c>
      <c r="G53" s="11">
        <v>1</v>
      </c>
      <c r="H53" s="415">
        <v>1</v>
      </c>
      <c r="I53" s="415">
        <v>1</v>
      </c>
      <c r="J53" s="150">
        <f t="shared" si="14"/>
        <v>196302.28</v>
      </c>
      <c r="K53" s="14">
        <v>196302.28</v>
      </c>
      <c r="L53" s="12" t="s">
        <v>26</v>
      </c>
      <c r="M53" s="415" t="s">
        <v>26</v>
      </c>
      <c r="N53" s="13">
        <f t="shared" si="15"/>
        <v>196302.28</v>
      </c>
      <c r="O53" s="13">
        <f>G53*K53</f>
        <v>196302.28</v>
      </c>
      <c r="P53" s="12" t="s">
        <v>26</v>
      </c>
      <c r="Q53" s="12"/>
      <c r="R53" s="415" t="s">
        <v>26</v>
      </c>
      <c r="S53" s="10"/>
      <c r="T53" s="149">
        <f t="shared" si="16"/>
        <v>196302.28</v>
      </c>
      <c r="U53" s="149">
        <f t="shared" si="17"/>
        <v>196302.28</v>
      </c>
    </row>
    <row r="54" spans="1:31" x14ac:dyDescent="0.25">
      <c r="A54" s="839"/>
      <c r="B54" s="830"/>
      <c r="C54" s="405" t="s">
        <v>30</v>
      </c>
      <c r="D54" s="400" t="s">
        <v>24</v>
      </c>
      <c r="E54" s="11">
        <v>15</v>
      </c>
      <c r="F54" s="679">
        <f>15+2</f>
        <v>17</v>
      </c>
      <c r="G54" s="11">
        <f>17-4</f>
        <v>13</v>
      </c>
      <c r="H54" s="415">
        <v>15</v>
      </c>
      <c r="I54" s="415">
        <v>15</v>
      </c>
      <c r="J54" s="150">
        <f t="shared" si="14"/>
        <v>162574.21</v>
      </c>
      <c r="K54" s="150">
        <v>162574.21</v>
      </c>
      <c r="L54" s="12" t="s">
        <v>26</v>
      </c>
      <c r="M54" s="415" t="s">
        <v>26</v>
      </c>
      <c r="N54" s="13">
        <f>O54</f>
        <v>2113464.73</v>
      </c>
      <c r="O54" s="13">
        <f t="shared" ref="O54:O58" si="18">G54*K54</f>
        <v>2113464.73</v>
      </c>
      <c r="P54" s="12" t="s">
        <v>26</v>
      </c>
      <c r="Q54" s="12"/>
      <c r="R54" s="415" t="s">
        <v>26</v>
      </c>
      <c r="S54" s="10"/>
      <c r="T54" s="149">
        <f t="shared" si="16"/>
        <v>2438613.15</v>
      </c>
      <c r="U54" s="149">
        <f t="shared" si="17"/>
        <v>2438613.15</v>
      </c>
    </row>
    <row r="55" spans="1:31" x14ac:dyDescent="0.25">
      <c r="A55" s="839"/>
      <c r="B55" s="830"/>
      <c r="C55" s="405" t="s">
        <v>31</v>
      </c>
      <c r="D55" s="400" t="s">
        <v>24</v>
      </c>
      <c r="E55" s="11">
        <v>0</v>
      </c>
      <c r="F55" s="679">
        <v>1</v>
      </c>
      <c r="G55" s="11">
        <v>1</v>
      </c>
      <c r="H55" s="415">
        <v>0</v>
      </c>
      <c r="I55" s="415">
        <v>0</v>
      </c>
      <c r="J55" s="150">
        <f t="shared" si="14"/>
        <v>180348.22</v>
      </c>
      <c r="K55" s="150">
        <v>180348.22</v>
      </c>
      <c r="L55" s="12" t="s">
        <v>26</v>
      </c>
      <c r="M55" s="415" t="s">
        <v>26</v>
      </c>
      <c r="N55" s="13">
        <f t="shared" si="15"/>
        <v>180348.22</v>
      </c>
      <c r="O55" s="13">
        <f t="shared" si="18"/>
        <v>180348.22</v>
      </c>
      <c r="P55" s="12" t="s">
        <v>26</v>
      </c>
      <c r="Q55" s="12"/>
      <c r="R55" s="415" t="s">
        <v>26</v>
      </c>
      <c r="S55" s="10"/>
      <c r="T55" s="149">
        <f t="shared" si="16"/>
        <v>0</v>
      </c>
      <c r="U55" s="149">
        <f t="shared" si="17"/>
        <v>0</v>
      </c>
    </row>
    <row r="56" spans="1:31" x14ac:dyDescent="0.25">
      <c r="A56" s="839"/>
      <c r="B56" s="830"/>
      <c r="C56" s="405" t="s">
        <v>33</v>
      </c>
      <c r="D56" s="400" t="s">
        <v>24</v>
      </c>
      <c r="E56" s="11">
        <f>0</f>
        <v>0</v>
      </c>
      <c r="F56" s="679">
        <f>0</f>
        <v>0</v>
      </c>
      <c r="G56" s="11">
        <v>0</v>
      </c>
      <c r="H56" s="415">
        <f>0</f>
        <v>0</v>
      </c>
      <c r="I56" s="415">
        <f>0</f>
        <v>0</v>
      </c>
      <c r="J56" s="150">
        <f t="shared" si="14"/>
        <v>202178.64</v>
      </c>
      <c r="K56" s="150">
        <v>202178.64</v>
      </c>
      <c r="L56" s="12" t="s">
        <v>26</v>
      </c>
      <c r="M56" s="415" t="s">
        <v>26</v>
      </c>
      <c r="N56" s="13">
        <f t="shared" si="15"/>
        <v>0</v>
      </c>
      <c r="O56" s="13">
        <f t="shared" si="18"/>
        <v>0</v>
      </c>
      <c r="P56" s="12" t="s">
        <v>26</v>
      </c>
      <c r="Q56" s="12"/>
      <c r="R56" s="415" t="s">
        <v>26</v>
      </c>
      <c r="S56" s="10"/>
      <c r="T56" s="149">
        <f t="shared" si="16"/>
        <v>0</v>
      </c>
      <c r="U56" s="149">
        <f t="shared" si="17"/>
        <v>0</v>
      </c>
    </row>
    <row r="57" spans="1:31" x14ac:dyDescent="0.25">
      <c r="A57" s="839"/>
      <c r="B57" s="830"/>
      <c r="C57" s="405" t="s">
        <v>52</v>
      </c>
      <c r="D57" s="400" t="s">
        <v>24</v>
      </c>
      <c r="E57" s="11">
        <v>8</v>
      </c>
      <c r="F57" s="679">
        <f>8-1</f>
        <v>7</v>
      </c>
      <c r="G57" s="11">
        <v>7</v>
      </c>
      <c r="H57" s="415">
        <v>8</v>
      </c>
      <c r="I57" s="415">
        <v>8</v>
      </c>
      <c r="J57" s="150">
        <f t="shared" si="14"/>
        <v>343079.52</v>
      </c>
      <c r="K57" s="150">
        <v>343079.52</v>
      </c>
      <c r="L57" s="12" t="s">
        <v>26</v>
      </c>
      <c r="M57" s="415" t="s">
        <v>26</v>
      </c>
      <c r="N57" s="13">
        <f t="shared" si="15"/>
        <v>2401556.64</v>
      </c>
      <c r="O57" s="13">
        <f t="shared" si="18"/>
        <v>2401556.64</v>
      </c>
      <c r="P57" s="12"/>
      <c r="Q57" s="12"/>
      <c r="R57" s="415"/>
      <c r="S57" s="10"/>
      <c r="T57" s="149">
        <f t="shared" si="16"/>
        <v>2744636.16</v>
      </c>
      <c r="U57" s="149">
        <f t="shared" si="17"/>
        <v>2744636.16</v>
      </c>
    </row>
    <row r="58" spans="1:31" x14ac:dyDescent="0.25">
      <c r="A58" s="839"/>
      <c r="B58" s="830"/>
      <c r="C58" s="405" t="s">
        <v>34</v>
      </c>
      <c r="D58" s="400" t="s">
        <v>24</v>
      </c>
      <c r="E58" s="10"/>
      <c r="F58" s="10"/>
      <c r="G58" s="11"/>
      <c r="H58" s="415"/>
      <c r="I58" s="415"/>
      <c r="J58" s="150">
        <f t="shared" si="14"/>
        <v>146900.85999999999</v>
      </c>
      <c r="K58" s="150">
        <v>146900.85999999999</v>
      </c>
      <c r="L58" s="12" t="s">
        <v>26</v>
      </c>
      <c r="M58" s="415" t="s">
        <v>26</v>
      </c>
      <c r="N58" s="13">
        <f t="shared" si="15"/>
        <v>0</v>
      </c>
      <c r="O58" s="13">
        <f t="shared" si="18"/>
        <v>0</v>
      </c>
      <c r="P58" s="12" t="s">
        <v>26</v>
      </c>
      <c r="Q58" s="12"/>
      <c r="R58" s="415" t="s">
        <v>26</v>
      </c>
      <c r="S58" s="10"/>
      <c r="T58" s="149">
        <f t="shared" si="16"/>
        <v>0</v>
      </c>
      <c r="U58" s="149">
        <f t="shared" si="17"/>
        <v>0</v>
      </c>
    </row>
    <row r="59" spans="1:31" ht="82.95" customHeight="1" x14ac:dyDescent="0.25">
      <c r="A59" s="839"/>
      <c r="B59" s="830"/>
      <c r="C59" s="405" t="s">
        <v>35</v>
      </c>
      <c r="D59" s="19" t="s">
        <v>24</v>
      </c>
      <c r="E59" s="11">
        <v>2</v>
      </c>
      <c r="F59" s="679">
        <f>2+3</f>
        <v>5</v>
      </c>
      <c r="G59" s="11">
        <v>6</v>
      </c>
      <c r="H59" s="415">
        <v>3</v>
      </c>
      <c r="I59" s="415">
        <v>3</v>
      </c>
      <c r="J59" s="150">
        <f>SUM(K59:M59)</f>
        <v>490346.47</v>
      </c>
      <c r="K59" s="150">
        <f>445116.57+2198.86</f>
        <v>447315.43</v>
      </c>
      <c r="L59" s="14">
        <v>13836.97</v>
      </c>
      <c r="M59" s="478">
        <v>29194.07</v>
      </c>
      <c r="N59" s="13">
        <f>SUM(O59:R59)</f>
        <v>2942078.82</v>
      </c>
      <c r="O59" s="13">
        <f>G59*K59</f>
        <v>2683892.58</v>
      </c>
      <c r="P59" s="478">
        <f>G59*L59</f>
        <v>83021.820000000007</v>
      </c>
      <c r="Q59" s="13"/>
      <c r="R59" s="150">
        <f>G59*M59</f>
        <v>175164.42</v>
      </c>
      <c r="S59" s="149"/>
      <c r="T59" s="149">
        <f>W59</f>
        <v>1471039.41</v>
      </c>
      <c r="U59" s="149">
        <f>AB59</f>
        <v>1471039.41</v>
      </c>
      <c r="W59" s="449">
        <f>SUM(X59:AA59)</f>
        <v>1471039.41</v>
      </c>
      <c r="X59" s="395">
        <f>H59*K59</f>
        <v>1341946.29</v>
      </c>
      <c r="Y59" s="14">
        <f>H59*L59</f>
        <v>41510.910000000003</v>
      </c>
      <c r="Z59" s="395">
        <f>H59*M59</f>
        <v>87582.21</v>
      </c>
      <c r="AB59" s="449">
        <f>SUM(AC59:AF59)</f>
        <v>1471039.41</v>
      </c>
      <c r="AC59" s="395">
        <f>I59*K59</f>
        <v>1341946.29</v>
      </c>
      <c r="AD59" s="14">
        <f>I59*L59</f>
        <v>41510.910000000003</v>
      </c>
      <c r="AE59" s="395">
        <f>I59*M59</f>
        <v>87582.21</v>
      </c>
    </row>
    <row r="60" spans="1:31" ht="19.5" customHeight="1" x14ac:dyDescent="0.25">
      <c r="A60" s="839"/>
      <c r="B60" s="830"/>
      <c r="C60" s="416" t="s">
        <v>36</v>
      </c>
      <c r="D60" s="400" t="s">
        <v>37</v>
      </c>
      <c r="E60" s="11">
        <v>11</v>
      </c>
      <c r="F60" s="11">
        <v>9</v>
      </c>
      <c r="G60" s="11">
        <v>9</v>
      </c>
      <c r="H60" s="415">
        <v>11</v>
      </c>
      <c r="I60" s="415">
        <v>11</v>
      </c>
      <c r="J60" s="150">
        <f>SUM(K60:M60)</f>
        <v>234360</v>
      </c>
      <c r="K60" s="150">
        <f>10000*1.5*1.302*12</f>
        <v>234360</v>
      </c>
      <c r="L60" s="384"/>
      <c r="M60" s="14"/>
      <c r="N60" s="14">
        <f>SUM(O60:R60)</f>
        <v>2109200</v>
      </c>
      <c r="O60" s="478">
        <f>G60*K60-40</f>
        <v>2109200</v>
      </c>
      <c r="P60" s="13"/>
      <c r="Q60" s="13"/>
      <c r="R60" s="150"/>
      <c r="S60" s="149"/>
      <c r="T60" s="149">
        <f>H60*K60-2577960</f>
        <v>0</v>
      </c>
      <c r="U60" s="149">
        <f>I60*K60-2577960</f>
        <v>0</v>
      </c>
    </row>
    <row r="61" spans="1:31" ht="24" customHeight="1" x14ac:dyDescent="0.25">
      <c r="A61" s="839"/>
      <c r="B61" s="831"/>
      <c r="C61" s="417" t="s">
        <v>38</v>
      </c>
      <c r="D61" s="400"/>
      <c r="E61" s="605">
        <f>E49+E59</f>
        <v>234</v>
      </c>
      <c r="F61" s="682">
        <f>F49+F59</f>
        <v>204</v>
      </c>
      <c r="G61" s="681">
        <f>G49+G59</f>
        <v>205</v>
      </c>
      <c r="H61" s="754">
        <f>H49+H59</f>
        <v>248</v>
      </c>
      <c r="I61" s="754">
        <f>I49+I59</f>
        <v>248</v>
      </c>
      <c r="J61" s="14" t="s">
        <v>26</v>
      </c>
      <c r="K61" s="13" t="s">
        <v>26</v>
      </c>
      <c r="L61" s="13" t="s">
        <v>26</v>
      </c>
      <c r="M61" s="14" t="s">
        <v>26</v>
      </c>
      <c r="N61" s="418">
        <f>SUM(N49:N60)</f>
        <v>27977754.41</v>
      </c>
      <c r="O61" s="418">
        <f t="shared" ref="O61:U61" si="19">SUM(O49:O60)</f>
        <v>19156391.210000001</v>
      </c>
      <c r="P61" s="418">
        <f t="shared" si="19"/>
        <v>2836578.85</v>
      </c>
      <c r="Q61" s="418">
        <f t="shared" si="19"/>
        <v>0</v>
      </c>
      <c r="R61" s="772">
        <f>SUM(R49:R60)</f>
        <v>5984784.3499999996</v>
      </c>
      <c r="S61" s="418">
        <f t="shared" si="19"/>
        <v>0</v>
      </c>
      <c r="T61" s="418">
        <f t="shared" si="19"/>
        <v>30283866.18</v>
      </c>
      <c r="U61" s="418">
        <f t="shared" si="19"/>
        <v>30283866.18</v>
      </c>
    </row>
    <row r="62" spans="1:31" ht="76.95" customHeight="1" x14ac:dyDescent="0.25">
      <c r="A62" s="839"/>
      <c r="B62" s="829" t="s">
        <v>310</v>
      </c>
      <c r="C62" s="22" t="s">
        <v>23</v>
      </c>
      <c r="D62" s="19" t="s">
        <v>24</v>
      </c>
      <c r="E62" s="695">
        <f>209+1</f>
        <v>210</v>
      </c>
      <c r="F62" s="679">
        <v>192</v>
      </c>
      <c r="G62" s="11">
        <f>183+6</f>
        <v>189</v>
      </c>
      <c r="H62" s="415">
        <f>280+7</f>
        <v>287</v>
      </c>
      <c r="I62" s="415">
        <f>280+7</f>
        <v>287</v>
      </c>
      <c r="J62" s="14">
        <f>SUM(K62:M62)</f>
        <v>99926.93</v>
      </c>
      <c r="K62" s="14">
        <f>54145.32+2750.57</f>
        <v>56895.89</v>
      </c>
      <c r="L62" s="14">
        <v>13836.97</v>
      </c>
      <c r="M62" s="478">
        <v>29194.07</v>
      </c>
      <c r="N62" s="427">
        <f>SUM(O62:R62)</f>
        <v>18886189.77</v>
      </c>
      <c r="O62" s="427">
        <f>G62*K62</f>
        <v>10753323.210000001</v>
      </c>
      <c r="P62" s="478">
        <f>G62*L62</f>
        <v>2615187.33</v>
      </c>
      <c r="Q62" s="427"/>
      <c r="R62" s="150">
        <f>G62*M62</f>
        <v>5517679.2300000004</v>
      </c>
      <c r="S62" s="149"/>
      <c r="T62" s="149">
        <f>W62</f>
        <v>28679028.91</v>
      </c>
      <c r="U62" s="149">
        <f>T62</f>
        <v>28679028.91</v>
      </c>
      <c r="W62" s="449">
        <f>SUM(X62:AA62)</f>
        <v>28679028.91</v>
      </c>
      <c r="X62" s="395">
        <f>H62*K62</f>
        <v>16329120.43</v>
      </c>
      <c r="Y62" s="14">
        <f>H62*L62</f>
        <v>3971210.39</v>
      </c>
      <c r="Z62" s="395">
        <f>H62*M62</f>
        <v>8378698.0899999999</v>
      </c>
      <c r="AB62" s="449">
        <f>SUM(AC62:AF62)</f>
        <v>28679028.91</v>
      </c>
      <c r="AC62" s="395">
        <f>I62*K62</f>
        <v>16329120.43</v>
      </c>
      <c r="AD62" s="14">
        <f>I62*L62</f>
        <v>3971210.39</v>
      </c>
      <c r="AE62" s="395">
        <f>I62*M62</f>
        <v>8378698.0899999999</v>
      </c>
    </row>
    <row r="63" spans="1:31" ht="94.95" customHeight="1" x14ac:dyDescent="0.25">
      <c r="A63" s="839"/>
      <c r="B63" s="830"/>
      <c r="C63" s="22" t="s">
        <v>63</v>
      </c>
      <c r="D63" s="19" t="s">
        <v>24</v>
      </c>
      <c r="E63" s="702">
        <f>44-1</f>
        <v>43</v>
      </c>
      <c r="F63" s="687">
        <v>94</v>
      </c>
      <c r="G63" s="745">
        <v>93</v>
      </c>
      <c r="H63" s="745">
        <v>89</v>
      </c>
      <c r="I63" s="745">
        <v>130</v>
      </c>
      <c r="J63" s="14">
        <f>SUM(K63:M63)</f>
        <v>105910.23</v>
      </c>
      <c r="K63" s="14">
        <f>60128.62+2750.57</f>
        <v>62879.19</v>
      </c>
      <c r="L63" s="14">
        <v>13836.97</v>
      </c>
      <c r="M63" s="478">
        <v>29194.07</v>
      </c>
      <c r="N63" s="561">
        <f>SUM(O63:R63)</f>
        <v>9849651.3900000006</v>
      </c>
      <c r="O63" s="561">
        <f>G63*K63</f>
        <v>5847764.6699999999</v>
      </c>
      <c r="P63" s="14">
        <f>G63*L63</f>
        <v>1286838.21</v>
      </c>
      <c r="Q63" s="561"/>
      <c r="R63" s="150">
        <f>G63*M63</f>
        <v>2715048.51</v>
      </c>
      <c r="S63" s="149"/>
      <c r="T63" s="149">
        <f>W63</f>
        <v>9426010.4700000007</v>
      </c>
      <c r="U63" s="149">
        <f>AB63</f>
        <v>13768329.9</v>
      </c>
      <c r="W63" s="449">
        <f>SUM(X63:AA63)</f>
        <v>9426010.4700000007</v>
      </c>
      <c r="X63" s="395">
        <f>H63*K63</f>
        <v>5596247.9100000001</v>
      </c>
      <c r="Y63" s="14">
        <f>H63*L63</f>
        <v>1231490.33</v>
      </c>
      <c r="Z63" s="395">
        <f>H63*M63</f>
        <v>2598272.23</v>
      </c>
      <c r="AB63" s="449">
        <f>SUM(AC63:AF63)</f>
        <v>13768329.9</v>
      </c>
      <c r="AC63" s="395">
        <f>I63*K63</f>
        <v>8174294.7000000002</v>
      </c>
      <c r="AD63" s="14">
        <f>I63*L63</f>
        <v>1798806.1</v>
      </c>
      <c r="AE63" s="395">
        <f>I63*M63</f>
        <v>3795229.1</v>
      </c>
    </row>
    <row r="64" spans="1:31" ht="82.8" x14ac:dyDescent="0.25">
      <c r="A64" s="839"/>
      <c r="B64" s="830"/>
      <c r="C64" s="405" t="s">
        <v>39</v>
      </c>
      <c r="D64" s="19" t="s">
        <v>24</v>
      </c>
      <c r="E64" s="11" t="s">
        <v>26</v>
      </c>
      <c r="F64" s="11" t="s">
        <v>26</v>
      </c>
      <c r="G64" s="11" t="s">
        <v>26</v>
      </c>
      <c r="H64" s="415" t="s">
        <v>26</v>
      </c>
      <c r="I64" s="415" t="s">
        <v>26</v>
      </c>
      <c r="J64" s="426" t="s">
        <v>26</v>
      </c>
      <c r="K64" s="426"/>
      <c r="L64" s="426" t="s">
        <v>26</v>
      </c>
      <c r="M64" s="415" t="s">
        <v>26</v>
      </c>
      <c r="N64" s="427"/>
      <c r="O64" s="427"/>
      <c r="P64" s="426" t="s">
        <v>26</v>
      </c>
      <c r="Q64" s="426"/>
      <c r="R64" s="415" t="s">
        <v>26</v>
      </c>
      <c r="S64" s="10"/>
      <c r="T64" s="149"/>
      <c r="U64" s="149"/>
    </row>
    <row r="65" spans="1:31" x14ac:dyDescent="0.25">
      <c r="A65" s="839"/>
      <c r="B65" s="830"/>
      <c r="C65" s="385" t="s">
        <v>29</v>
      </c>
      <c r="D65" s="19" t="s">
        <v>24</v>
      </c>
      <c r="E65" s="11">
        <v>1</v>
      </c>
      <c r="F65" s="679">
        <f>1-1</f>
        <v>0</v>
      </c>
      <c r="G65" s="11">
        <v>0</v>
      </c>
      <c r="H65" s="415">
        <v>0</v>
      </c>
      <c r="I65" s="415">
        <v>0</v>
      </c>
      <c r="J65" s="150">
        <f t="shared" ref="J65:J70" si="20">K65</f>
        <v>119806.54</v>
      </c>
      <c r="K65" s="14">
        <v>119806.54</v>
      </c>
      <c r="L65" s="426" t="s">
        <v>26</v>
      </c>
      <c r="M65" s="415" t="s">
        <v>26</v>
      </c>
      <c r="N65" s="427">
        <f t="shared" ref="N65:N70" si="21">O65</f>
        <v>0</v>
      </c>
      <c r="O65" s="427">
        <f>G65*K65</f>
        <v>0</v>
      </c>
      <c r="P65" s="426"/>
      <c r="Q65" s="426"/>
      <c r="R65" s="415"/>
      <c r="S65" s="10"/>
      <c r="T65" s="149">
        <f t="shared" ref="T65:T70" si="22">H65*K65</f>
        <v>0</v>
      </c>
      <c r="U65" s="149">
        <f t="shared" ref="U65:U70" si="23">I65*K65</f>
        <v>0</v>
      </c>
    </row>
    <row r="66" spans="1:31" x14ac:dyDescent="0.25">
      <c r="A66" s="839"/>
      <c r="B66" s="830"/>
      <c r="C66" s="385" t="s">
        <v>31</v>
      </c>
      <c r="D66" s="19" t="s">
        <v>24</v>
      </c>
      <c r="E66" s="11">
        <v>1</v>
      </c>
      <c r="F66" s="679">
        <f>1-1</f>
        <v>0</v>
      </c>
      <c r="G66" s="11">
        <f>1-1</f>
        <v>0</v>
      </c>
      <c r="H66" s="415">
        <v>1</v>
      </c>
      <c r="I66" s="415">
        <v>1</v>
      </c>
      <c r="J66" s="150">
        <f t="shared" si="20"/>
        <v>310708.38</v>
      </c>
      <c r="K66" s="14">
        <v>310708.38</v>
      </c>
      <c r="L66" s="426" t="s">
        <v>26</v>
      </c>
      <c r="M66" s="415" t="s">
        <v>26</v>
      </c>
      <c r="N66" s="427">
        <f t="shared" si="21"/>
        <v>0</v>
      </c>
      <c r="O66" s="427">
        <f t="shared" ref="O66:O70" si="24">G66*K66</f>
        <v>0</v>
      </c>
      <c r="P66" s="426"/>
      <c r="Q66" s="426"/>
      <c r="R66" s="415"/>
      <c r="S66" s="10"/>
      <c r="T66" s="149">
        <f t="shared" si="22"/>
        <v>310708.38</v>
      </c>
      <c r="U66" s="149">
        <f t="shared" si="23"/>
        <v>310708.38</v>
      </c>
    </row>
    <row r="67" spans="1:31" x14ac:dyDescent="0.25">
      <c r="A67" s="839"/>
      <c r="B67" s="830"/>
      <c r="C67" s="385" t="s">
        <v>32</v>
      </c>
      <c r="D67" s="19" t="s">
        <v>24</v>
      </c>
      <c r="E67" s="606"/>
      <c r="F67" s="606"/>
      <c r="G67" s="11">
        <v>0</v>
      </c>
      <c r="H67" s="444">
        <v>0</v>
      </c>
      <c r="I67" s="444">
        <v>0</v>
      </c>
      <c r="J67" s="150">
        <f t="shared" si="20"/>
        <v>223221.7</v>
      </c>
      <c r="K67" s="150">
        <v>223221.7</v>
      </c>
      <c r="L67" s="426" t="s">
        <v>26</v>
      </c>
      <c r="M67" s="415" t="s">
        <v>26</v>
      </c>
      <c r="N67" s="427">
        <f t="shared" si="21"/>
        <v>0</v>
      </c>
      <c r="O67" s="427">
        <f t="shared" si="24"/>
        <v>0</v>
      </c>
      <c r="P67" s="426" t="s">
        <v>26</v>
      </c>
      <c r="Q67" s="426"/>
      <c r="R67" s="415" t="s">
        <v>26</v>
      </c>
      <c r="S67" s="10"/>
      <c r="T67" s="149">
        <f t="shared" si="22"/>
        <v>0</v>
      </c>
      <c r="U67" s="149">
        <f t="shared" si="23"/>
        <v>0</v>
      </c>
    </row>
    <row r="68" spans="1:31" x14ac:dyDescent="0.25">
      <c r="A68" s="839"/>
      <c r="B68" s="830"/>
      <c r="C68" s="385" t="s">
        <v>33</v>
      </c>
      <c r="D68" s="19" t="s">
        <v>24</v>
      </c>
      <c r="E68" s="606">
        <v>2</v>
      </c>
      <c r="F68" s="683">
        <v>2</v>
      </c>
      <c r="G68" s="11">
        <v>2</v>
      </c>
      <c r="H68" s="444">
        <v>2</v>
      </c>
      <c r="I68" s="444">
        <v>2</v>
      </c>
      <c r="J68" s="150">
        <f t="shared" si="20"/>
        <v>26113.16</v>
      </c>
      <c r="K68" s="150">
        <v>26113.16</v>
      </c>
      <c r="L68" s="426" t="s">
        <v>26</v>
      </c>
      <c r="M68" s="415" t="s">
        <v>26</v>
      </c>
      <c r="N68" s="427">
        <f t="shared" si="21"/>
        <v>52226.32</v>
      </c>
      <c r="O68" s="427">
        <f t="shared" si="24"/>
        <v>52226.32</v>
      </c>
      <c r="P68" s="426" t="s">
        <v>26</v>
      </c>
      <c r="Q68" s="426"/>
      <c r="R68" s="415" t="s">
        <v>26</v>
      </c>
      <c r="S68" s="10"/>
      <c r="T68" s="149">
        <f t="shared" si="22"/>
        <v>52226.32</v>
      </c>
      <c r="U68" s="149">
        <f t="shared" si="23"/>
        <v>52226.32</v>
      </c>
    </row>
    <row r="69" spans="1:31" x14ac:dyDescent="0.25">
      <c r="A69" s="839"/>
      <c r="B69" s="830"/>
      <c r="C69" s="710" t="s">
        <v>52</v>
      </c>
      <c r="D69" s="19" t="s">
        <v>24</v>
      </c>
      <c r="E69" s="606">
        <v>3</v>
      </c>
      <c r="F69" s="683">
        <v>3</v>
      </c>
      <c r="G69" s="11">
        <v>3</v>
      </c>
      <c r="H69" s="444">
        <v>3</v>
      </c>
      <c r="I69" s="444">
        <v>3</v>
      </c>
      <c r="J69" s="150">
        <f t="shared" si="20"/>
        <v>425676.93</v>
      </c>
      <c r="K69" s="150">
        <v>425676.93</v>
      </c>
      <c r="L69" s="705"/>
      <c r="M69" s="415"/>
      <c r="N69" s="777">
        <f t="shared" si="21"/>
        <v>1277030.79</v>
      </c>
      <c r="O69" s="777">
        <f t="shared" si="24"/>
        <v>1277030.79</v>
      </c>
      <c r="P69" s="705"/>
      <c r="Q69" s="705"/>
      <c r="R69" s="415"/>
      <c r="S69" s="10"/>
      <c r="T69" s="149">
        <f t="shared" si="22"/>
        <v>1277030.79</v>
      </c>
      <c r="U69" s="149">
        <f t="shared" si="23"/>
        <v>1277030.79</v>
      </c>
    </row>
    <row r="70" spans="1:31" x14ac:dyDescent="0.25">
      <c r="A70" s="839"/>
      <c r="B70" s="830"/>
      <c r="C70" s="385" t="s">
        <v>34</v>
      </c>
      <c r="D70" s="19" t="s">
        <v>24</v>
      </c>
      <c r="E70" s="606">
        <f>2-1</f>
        <v>1</v>
      </c>
      <c r="F70" s="683">
        <f>2+2-3</f>
        <v>1</v>
      </c>
      <c r="G70" s="11">
        <v>1</v>
      </c>
      <c r="H70" s="444">
        <v>1</v>
      </c>
      <c r="I70" s="444">
        <v>1</v>
      </c>
      <c r="J70" s="150">
        <f t="shared" si="20"/>
        <v>18697.54</v>
      </c>
      <c r="K70" s="150">
        <v>18697.54</v>
      </c>
      <c r="L70" s="426" t="s">
        <v>26</v>
      </c>
      <c r="M70" s="415" t="s">
        <v>26</v>
      </c>
      <c r="N70" s="427">
        <f t="shared" si="21"/>
        <v>18697.54</v>
      </c>
      <c r="O70" s="427">
        <f t="shared" si="24"/>
        <v>18697.54</v>
      </c>
      <c r="P70" s="426" t="s">
        <v>26</v>
      </c>
      <c r="Q70" s="426"/>
      <c r="R70" s="415" t="s">
        <v>26</v>
      </c>
      <c r="S70" s="10"/>
      <c r="T70" s="149">
        <f t="shared" si="22"/>
        <v>18697.54</v>
      </c>
      <c r="U70" s="149">
        <f t="shared" si="23"/>
        <v>18697.54</v>
      </c>
    </row>
    <row r="71" spans="1:31" ht="82.95" customHeight="1" x14ac:dyDescent="0.25">
      <c r="A71" s="839"/>
      <c r="B71" s="831"/>
      <c r="C71" s="604" t="s">
        <v>35</v>
      </c>
      <c r="D71" s="19" t="s">
        <v>24</v>
      </c>
      <c r="E71" s="693">
        <f>3-1</f>
        <v>2</v>
      </c>
      <c r="F71" s="683">
        <f>3+2</f>
        <v>5</v>
      </c>
      <c r="G71" s="11">
        <v>6</v>
      </c>
      <c r="H71" s="444">
        <v>1</v>
      </c>
      <c r="I71" s="444">
        <v>1</v>
      </c>
      <c r="J71" s="150">
        <f>SUM(K71:M71)</f>
        <v>547511.43000000005</v>
      </c>
      <c r="K71" s="150">
        <f>501729.82+2750.57</f>
        <v>504480.39</v>
      </c>
      <c r="L71" s="14">
        <v>13836.97</v>
      </c>
      <c r="M71" s="478">
        <v>29194.07</v>
      </c>
      <c r="N71" s="427">
        <f>SUM(O71:R71)</f>
        <v>3285068.58</v>
      </c>
      <c r="O71" s="427">
        <f>G71*K71</f>
        <v>3026882.34</v>
      </c>
      <c r="P71" s="478">
        <f>G71*L71</f>
        <v>83021.820000000007</v>
      </c>
      <c r="Q71" s="395"/>
      <c r="R71" s="150">
        <f>G71*M71</f>
        <v>175164.42</v>
      </c>
      <c r="S71" s="149"/>
      <c r="T71" s="149">
        <f>W71</f>
        <v>547511.43000000005</v>
      </c>
      <c r="U71" s="149">
        <f>AB71</f>
        <v>547511.43000000005</v>
      </c>
      <c r="W71" s="449">
        <f>SUM(X71:AA71)</f>
        <v>547511.43000000005</v>
      </c>
      <c r="X71" s="395">
        <f>H71*K71</f>
        <v>504480.39</v>
      </c>
      <c r="Y71" s="14">
        <f>H71*L71</f>
        <v>13836.97</v>
      </c>
      <c r="Z71" s="395">
        <f>H71*M71</f>
        <v>29194.07</v>
      </c>
      <c r="AB71" s="449">
        <f>SUM(AC71:AF71)</f>
        <v>547511.43000000005</v>
      </c>
      <c r="AC71" s="395">
        <f>I71*K71</f>
        <v>504480.39</v>
      </c>
      <c r="AD71" s="14">
        <f>I71*L71</f>
        <v>13836.97</v>
      </c>
      <c r="AE71" s="395">
        <f>I71*M71</f>
        <v>29194.07</v>
      </c>
    </row>
    <row r="72" spans="1:31" ht="17.399999999999999" customHeight="1" x14ac:dyDescent="0.25">
      <c r="A72" s="839"/>
      <c r="B72" s="402"/>
      <c r="C72" s="386" t="s">
        <v>36</v>
      </c>
      <c r="D72" s="19" t="s">
        <v>37</v>
      </c>
      <c r="E72" s="606">
        <v>12</v>
      </c>
      <c r="F72" s="606">
        <v>12</v>
      </c>
      <c r="G72" s="11">
        <v>12</v>
      </c>
      <c r="H72" s="444">
        <v>12</v>
      </c>
      <c r="I72" s="444">
        <v>12</v>
      </c>
      <c r="J72" s="150">
        <f>SUM(K72:M72)</f>
        <v>234360</v>
      </c>
      <c r="K72" s="150">
        <f>10000*1.5*1.302*12</f>
        <v>234360</v>
      </c>
      <c r="L72" s="384"/>
      <c r="M72" s="14"/>
      <c r="N72" s="14">
        <f>SUM(O72:R72)</f>
        <v>2812360</v>
      </c>
      <c r="O72" s="650">
        <f>G72*K72+40</f>
        <v>2812360</v>
      </c>
      <c r="P72" s="427"/>
      <c r="Q72" s="395"/>
      <c r="R72" s="150"/>
      <c r="S72" s="149"/>
      <c r="T72" s="149">
        <f>H72*K72-2812320</f>
        <v>0</v>
      </c>
      <c r="U72" s="149">
        <f>I72*K72-2812320</f>
        <v>0</v>
      </c>
    </row>
    <row r="73" spans="1:31" ht="24" customHeight="1" x14ac:dyDescent="0.25">
      <c r="A73" s="839"/>
      <c r="B73" s="402"/>
      <c r="C73" s="401" t="s">
        <v>38</v>
      </c>
      <c r="D73" s="19"/>
      <c r="E73" s="607">
        <f>E62+E63+E71</f>
        <v>255</v>
      </c>
      <c r="F73" s="692">
        <f>F62+F63+F71</f>
        <v>291</v>
      </c>
      <c r="G73" s="607">
        <f>G62+G63+G71</f>
        <v>288</v>
      </c>
      <c r="H73" s="607">
        <f>H62+H63+H71</f>
        <v>377</v>
      </c>
      <c r="I73" s="607">
        <f>I62+I63+I71</f>
        <v>418</v>
      </c>
      <c r="J73" s="395" t="s">
        <v>26</v>
      </c>
      <c r="K73" s="395" t="s">
        <v>26</v>
      </c>
      <c r="L73" s="395" t="s">
        <v>26</v>
      </c>
      <c r="M73" s="150" t="s">
        <v>26</v>
      </c>
      <c r="N73" s="413">
        <f>SUM(N62:N72)</f>
        <v>36181224.390000001</v>
      </c>
      <c r="O73" s="413">
        <f t="shared" ref="O73:U73" si="25">SUM(O62:O72)</f>
        <v>23788284.870000001</v>
      </c>
      <c r="P73" s="413">
        <f t="shared" si="25"/>
        <v>3985047.36</v>
      </c>
      <c r="Q73" s="413">
        <f t="shared" si="25"/>
        <v>0</v>
      </c>
      <c r="R73" s="645">
        <f>SUM(R62:R72)</f>
        <v>8407892.1600000001</v>
      </c>
      <c r="S73" s="413">
        <f t="shared" si="25"/>
        <v>0</v>
      </c>
      <c r="T73" s="413">
        <f t="shared" si="25"/>
        <v>40311213.840000004</v>
      </c>
      <c r="U73" s="413">
        <f t="shared" si="25"/>
        <v>44653533.270000003</v>
      </c>
    </row>
    <row r="74" spans="1:31" ht="69" x14ac:dyDescent="0.25">
      <c r="A74" s="839"/>
      <c r="B74" s="829" t="s">
        <v>309</v>
      </c>
      <c r="C74" s="22" t="s">
        <v>23</v>
      </c>
      <c r="D74" s="19" t="s">
        <v>24</v>
      </c>
      <c r="E74" s="606">
        <v>37</v>
      </c>
      <c r="F74" s="683">
        <v>38</v>
      </c>
      <c r="G74" s="11">
        <v>38</v>
      </c>
      <c r="H74" s="444">
        <v>41</v>
      </c>
      <c r="I74" s="444">
        <v>41</v>
      </c>
      <c r="J74" s="384">
        <f>SUM(K74:M74)</f>
        <v>115902.55</v>
      </c>
      <c r="K74" s="14">
        <f>70145.11+2726.4</f>
        <v>72871.509999999995</v>
      </c>
      <c r="L74" s="14">
        <v>13836.97</v>
      </c>
      <c r="M74" s="478">
        <v>29194.07</v>
      </c>
      <c r="N74" s="150">
        <f>SUM(O74:R74)</f>
        <v>4404296.9000000004</v>
      </c>
      <c r="O74" s="395">
        <f>G74*K74</f>
        <v>2769117.38</v>
      </c>
      <c r="P74" s="478">
        <f>G74*L74</f>
        <v>525804.86</v>
      </c>
      <c r="Q74" s="395"/>
      <c r="R74" s="150">
        <f>G74*M74</f>
        <v>1109374.6599999999</v>
      </c>
      <c r="S74" s="149"/>
      <c r="T74" s="149">
        <f>W74</f>
        <v>4752004.55</v>
      </c>
      <c r="U74" s="149">
        <f>AB74</f>
        <v>4752004.55</v>
      </c>
      <c r="W74" s="449">
        <f>SUM(X74:AA74)</f>
        <v>4752004.55</v>
      </c>
      <c r="X74" s="395">
        <f>H74*K74</f>
        <v>2987731.91</v>
      </c>
      <c r="Y74" s="14">
        <f>H74*L74</f>
        <v>567315.77</v>
      </c>
      <c r="Z74" s="395">
        <f>H74*M74</f>
        <v>1196956.8700000001</v>
      </c>
      <c r="AB74" s="449">
        <f>SUM(AC74:AF74)</f>
        <v>4752004.55</v>
      </c>
      <c r="AC74" s="395">
        <f>I74*K74</f>
        <v>2987731.91</v>
      </c>
      <c r="AD74" s="14">
        <f>I74*L74</f>
        <v>567315.77</v>
      </c>
      <c r="AE74" s="395">
        <f>I74*M74</f>
        <v>1196956.8700000001</v>
      </c>
    </row>
    <row r="75" spans="1:31" ht="82.8" x14ac:dyDescent="0.25">
      <c r="A75" s="839"/>
      <c r="B75" s="830"/>
      <c r="C75" s="405" t="s">
        <v>39</v>
      </c>
      <c r="D75" s="19" t="s">
        <v>24</v>
      </c>
      <c r="E75" s="10" t="s">
        <v>26</v>
      </c>
      <c r="F75" s="10" t="s">
        <v>26</v>
      </c>
      <c r="G75" s="11" t="s">
        <v>26</v>
      </c>
      <c r="H75" s="415" t="s">
        <v>26</v>
      </c>
      <c r="I75" s="415" t="s">
        <v>26</v>
      </c>
      <c r="J75" s="426" t="s">
        <v>26</v>
      </c>
      <c r="K75" s="426" t="s">
        <v>26</v>
      </c>
      <c r="L75" s="426" t="s">
        <v>26</v>
      </c>
      <c r="M75" s="415" t="s">
        <v>26</v>
      </c>
      <c r="N75" s="427"/>
      <c r="O75" s="427"/>
      <c r="P75" s="426" t="s">
        <v>26</v>
      </c>
      <c r="Q75" s="426"/>
      <c r="R75" s="415" t="s">
        <v>26</v>
      </c>
      <c r="S75" s="10"/>
      <c r="T75" s="149"/>
      <c r="U75" s="149"/>
    </row>
    <row r="76" spans="1:31" x14ac:dyDescent="0.25">
      <c r="A76" s="839"/>
      <c r="B76" s="830"/>
      <c r="C76" s="405" t="s">
        <v>34</v>
      </c>
      <c r="D76" s="19" t="s">
        <v>24</v>
      </c>
      <c r="E76" s="411"/>
      <c r="F76" s="411"/>
      <c r="G76" s="11">
        <v>0</v>
      </c>
      <c r="H76" s="444"/>
      <c r="I76" s="444"/>
      <c r="J76" s="150">
        <f>K76</f>
        <v>19898.91</v>
      </c>
      <c r="K76" s="150">
        <v>19898.91</v>
      </c>
      <c r="L76" s="426" t="s">
        <v>26</v>
      </c>
      <c r="M76" s="415" t="s">
        <v>26</v>
      </c>
      <c r="N76" s="427">
        <f>O76</f>
        <v>0</v>
      </c>
      <c r="O76" s="427">
        <f>G76*K76</f>
        <v>0</v>
      </c>
      <c r="P76" s="426" t="s">
        <v>26</v>
      </c>
      <c r="Q76" s="426"/>
      <c r="R76" s="415" t="s">
        <v>26</v>
      </c>
      <c r="S76" s="10"/>
      <c r="T76" s="149">
        <f>H76*K76</f>
        <v>0</v>
      </c>
      <c r="U76" s="149">
        <f>I76*K76</f>
        <v>0</v>
      </c>
    </row>
    <row r="77" spans="1:31" ht="82.95" customHeight="1" x14ac:dyDescent="0.25">
      <c r="A77" s="839"/>
      <c r="B77" s="831"/>
      <c r="C77" s="405" t="s">
        <v>35</v>
      </c>
      <c r="D77" s="19" t="s">
        <v>24</v>
      </c>
      <c r="E77" s="606">
        <v>0</v>
      </c>
      <c r="F77" s="683">
        <v>0</v>
      </c>
      <c r="G77" s="11">
        <v>0</v>
      </c>
      <c r="H77" s="444">
        <v>1</v>
      </c>
      <c r="I77" s="444">
        <v>1</v>
      </c>
      <c r="J77" s="395">
        <f>K77</f>
        <v>559857.19999999995</v>
      </c>
      <c r="K77" s="150">
        <f>557130.8+2726.4</f>
        <v>559857.19999999995</v>
      </c>
      <c r="L77" s="14">
        <v>13836.97</v>
      </c>
      <c r="M77" s="478">
        <v>29194.07</v>
      </c>
      <c r="N77" s="427">
        <f>SUM(O77:R77)</f>
        <v>0</v>
      </c>
      <c r="O77" s="395">
        <f>G77*K77</f>
        <v>0</v>
      </c>
      <c r="P77" s="395">
        <f>G77*L77</f>
        <v>0</v>
      </c>
      <c r="Q77" s="395"/>
      <c r="R77" s="150">
        <f>G77*M77</f>
        <v>0</v>
      </c>
      <c r="S77" s="149"/>
      <c r="T77" s="149">
        <f>W77</f>
        <v>602888.24</v>
      </c>
      <c r="U77" s="149">
        <f>AB77</f>
        <v>602888.24</v>
      </c>
      <c r="W77" s="449">
        <f>SUM(X77:AA77)</f>
        <v>602888.24</v>
      </c>
      <c r="X77" s="395">
        <f>H77*K77</f>
        <v>559857.19999999995</v>
      </c>
      <c r="Y77" s="14">
        <f>H77*L77</f>
        <v>13836.97</v>
      </c>
      <c r="Z77" s="395">
        <f>H77*M77</f>
        <v>29194.07</v>
      </c>
      <c r="AB77" s="449">
        <f>SUM(AC77:AF77)</f>
        <v>602888.24</v>
      </c>
      <c r="AC77" s="395">
        <f>I77*K77</f>
        <v>559857.19999999995</v>
      </c>
      <c r="AD77" s="14">
        <f>I77*L77</f>
        <v>13836.97</v>
      </c>
      <c r="AE77" s="395">
        <f>I77*M77</f>
        <v>29194.07</v>
      </c>
    </row>
    <row r="78" spans="1:31" ht="17.399999999999999" customHeight="1" x14ac:dyDescent="0.25">
      <c r="A78" s="839"/>
      <c r="B78" s="402"/>
      <c r="C78" s="24" t="s">
        <v>36</v>
      </c>
      <c r="D78" s="19" t="s">
        <v>37</v>
      </c>
      <c r="E78" s="606">
        <v>2</v>
      </c>
      <c r="F78" s="606">
        <v>2</v>
      </c>
      <c r="G78" s="11">
        <v>2</v>
      </c>
      <c r="H78" s="444">
        <v>2</v>
      </c>
      <c r="I78" s="444">
        <v>2</v>
      </c>
      <c r="J78" s="395">
        <f>K78</f>
        <v>234360</v>
      </c>
      <c r="K78" s="395">
        <f>10000*1.5*1.302*12</f>
        <v>234360</v>
      </c>
      <c r="L78" s="384"/>
      <c r="M78" s="14"/>
      <c r="N78" s="14">
        <f>SUM(O78:R78)</f>
        <v>468720</v>
      </c>
      <c r="O78" s="449">
        <f>G78*K78</f>
        <v>468720</v>
      </c>
      <c r="P78" s="395"/>
      <c r="Q78" s="395"/>
      <c r="R78" s="150"/>
      <c r="S78" s="149"/>
      <c r="T78" s="149">
        <f>H78*K78-468720</f>
        <v>0</v>
      </c>
      <c r="U78" s="149">
        <f>I78*K78-468720</f>
        <v>0</v>
      </c>
      <c r="X78" s="25"/>
    </row>
    <row r="79" spans="1:31" ht="29.4" customHeight="1" x14ac:dyDescent="0.25">
      <c r="A79" s="839"/>
      <c r="B79" s="402"/>
      <c r="C79" s="446" t="s">
        <v>38</v>
      </c>
      <c r="D79" s="19"/>
      <c r="E79" s="607">
        <f>E74+E77</f>
        <v>37</v>
      </c>
      <c r="F79" s="692">
        <f>F74+F77</f>
        <v>38</v>
      </c>
      <c r="G79" s="685">
        <f>G74+G77</f>
        <v>38</v>
      </c>
      <c r="H79" s="757">
        <f>H74+H77</f>
        <v>42</v>
      </c>
      <c r="I79" s="757">
        <f>I74+I77</f>
        <v>42</v>
      </c>
      <c r="J79" s="395" t="s">
        <v>26</v>
      </c>
      <c r="K79" s="395" t="s">
        <v>26</v>
      </c>
      <c r="L79" s="395" t="s">
        <v>26</v>
      </c>
      <c r="M79" s="150" t="s">
        <v>26</v>
      </c>
      <c r="N79" s="413">
        <f t="shared" ref="N79:U79" si="26">SUM(N74:N78)</f>
        <v>4873016.9000000004</v>
      </c>
      <c r="O79" s="413">
        <f t="shared" si="26"/>
        <v>3237837.38</v>
      </c>
      <c r="P79" s="413">
        <f t="shared" si="26"/>
        <v>525804.86</v>
      </c>
      <c r="Q79" s="413">
        <f t="shared" si="26"/>
        <v>0</v>
      </c>
      <c r="R79" s="645">
        <f>SUM(R74:R78)</f>
        <v>1109374.6599999999</v>
      </c>
      <c r="S79" s="413">
        <f t="shared" si="26"/>
        <v>0</v>
      </c>
      <c r="T79" s="413">
        <f t="shared" si="26"/>
        <v>5354892.79</v>
      </c>
      <c r="U79" s="413">
        <f t="shared" si="26"/>
        <v>5354892.79</v>
      </c>
    </row>
    <row r="80" spans="1:31" ht="58.2" customHeight="1" x14ac:dyDescent="0.25">
      <c r="A80" s="839"/>
      <c r="B80" s="834" t="s">
        <v>115</v>
      </c>
      <c r="C80" s="832" t="s">
        <v>41</v>
      </c>
      <c r="D80" s="19" t="s">
        <v>24</v>
      </c>
      <c r="E80" s="693">
        <f>1252+176+73-27</f>
        <v>1474</v>
      </c>
      <c r="F80" s="691">
        <f>1252+176+46</f>
        <v>1474</v>
      </c>
      <c r="G80" s="785">
        <v>1474</v>
      </c>
      <c r="H80" s="444">
        <f>1252+176+46</f>
        <v>1474</v>
      </c>
      <c r="I80" s="444">
        <f>1252+176+46</f>
        <v>1474</v>
      </c>
      <c r="J80" s="150">
        <f>K80</f>
        <v>5125.76</v>
      </c>
      <c r="K80" s="150">
        <v>5125.76</v>
      </c>
      <c r="L80" s="150" t="s">
        <v>26</v>
      </c>
      <c r="M80" s="150" t="s">
        <v>26</v>
      </c>
      <c r="N80" s="395">
        <f>SUM(O80:R80)</f>
        <v>7555370.2400000002</v>
      </c>
      <c r="O80" s="395">
        <f>G80*K80</f>
        <v>7555370.2400000002</v>
      </c>
      <c r="P80" s="395" t="s">
        <v>26</v>
      </c>
      <c r="Q80" s="395"/>
      <c r="R80" s="150" t="s">
        <v>26</v>
      </c>
      <c r="S80" s="396"/>
      <c r="T80" s="149">
        <f>H80*K80</f>
        <v>7555370.2400000002</v>
      </c>
      <c r="U80" s="149">
        <f>I80*K80</f>
        <v>7555370.2400000002</v>
      </c>
    </row>
    <row r="81" spans="1:31" ht="47.4" customHeight="1" x14ac:dyDescent="0.25">
      <c r="A81" s="839"/>
      <c r="B81" s="835"/>
      <c r="C81" s="833"/>
      <c r="D81" s="743" t="s">
        <v>232</v>
      </c>
      <c r="E81" s="746">
        <f>58786-663-1615</f>
        <v>56508</v>
      </c>
      <c r="F81" s="747">
        <f>58786-663</f>
        <v>58123</v>
      </c>
      <c r="G81" s="748">
        <v>54893</v>
      </c>
      <c r="H81" s="749">
        <v>54893</v>
      </c>
      <c r="I81" s="749">
        <v>54893</v>
      </c>
      <c r="J81" s="364">
        <f>K81</f>
        <v>137.63999999999999</v>
      </c>
      <c r="K81" s="364">
        <f>N81/G81</f>
        <v>137.63999999999999</v>
      </c>
      <c r="L81" s="364" t="s">
        <v>26</v>
      </c>
      <c r="M81" s="364" t="s">
        <v>26</v>
      </c>
      <c r="N81" s="750">
        <f>N80</f>
        <v>7555370.2400000002</v>
      </c>
      <c r="O81" s="750">
        <f>O80</f>
        <v>7555370.2400000002</v>
      </c>
      <c r="P81" s="750" t="s">
        <v>26</v>
      </c>
      <c r="Q81" s="750"/>
      <c r="R81" s="364" t="s">
        <v>26</v>
      </c>
      <c r="S81" s="750"/>
      <c r="T81" s="364">
        <f>T80/G81*H81</f>
        <v>7555370.2400000002</v>
      </c>
      <c r="U81" s="364">
        <f>U80/G81*I81</f>
        <v>7555370.2400000002</v>
      </c>
    </row>
    <row r="82" spans="1:31" ht="19.2" customHeight="1" x14ac:dyDescent="0.25">
      <c r="A82" s="839"/>
      <c r="B82" s="390"/>
      <c r="C82" s="401" t="s">
        <v>38</v>
      </c>
      <c r="D82" s="409"/>
      <c r="E82" s="606">
        <f>SUM(E80:E80)</f>
        <v>1474</v>
      </c>
      <c r="F82" s="606">
        <f>SUM(F80:F80)</f>
        <v>1474</v>
      </c>
      <c r="G82" s="606">
        <f>SUM(G80:G80)</f>
        <v>1474</v>
      </c>
      <c r="H82" s="444">
        <f>SUM(H80:H80)</f>
        <v>1474</v>
      </c>
      <c r="I82" s="444">
        <f>SUM(I80:I80)</f>
        <v>1474</v>
      </c>
      <c r="J82" s="395" t="s">
        <v>26</v>
      </c>
      <c r="K82" s="395">
        <v>0</v>
      </c>
      <c r="L82" s="395">
        <v>0</v>
      </c>
      <c r="M82" s="150">
        <f t="shared" ref="M82:N82" si="27">SUM(M80:M80)</f>
        <v>0</v>
      </c>
      <c r="N82" s="413">
        <f t="shared" si="27"/>
        <v>7555370.2400000002</v>
      </c>
      <c r="O82" s="395">
        <f>SUM(O80:O80)</f>
        <v>7555370.2400000002</v>
      </c>
      <c r="P82" s="395">
        <f>G82*L82</f>
        <v>0</v>
      </c>
      <c r="Q82" s="395"/>
      <c r="R82" s="150">
        <f>G82*M82</f>
        <v>0</v>
      </c>
      <c r="S82" s="396"/>
      <c r="T82" s="149">
        <f>T80</f>
        <v>7555370.2400000002</v>
      </c>
      <c r="U82" s="149">
        <f>U80</f>
        <v>7555370.2400000002</v>
      </c>
    </row>
    <row r="83" spans="1:31" ht="27.6" x14ac:dyDescent="0.25">
      <c r="A83" s="839"/>
      <c r="B83" s="158" t="s">
        <v>45</v>
      </c>
      <c r="C83" s="28" t="s">
        <v>44</v>
      </c>
      <c r="D83" s="410" t="s">
        <v>46</v>
      </c>
      <c r="E83" s="606">
        <f>10+1</f>
        <v>11</v>
      </c>
      <c r="F83" s="606">
        <f>10+1</f>
        <v>11</v>
      </c>
      <c r="G83" s="11">
        <f>10+1</f>
        <v>11</v>
      </c>
      <c r="H83" s="444">
        <f>10+1</f>
        <v>11</v>
      </c>
      <c r="I83" s="444">
        <f>10+1</f>
        <v>11</v>
      </c>
      <c r="J83" s="150">
        <f>K83</f>
        <v>0</v>
      </c>
      <c r="K83" s="150"/>
      <c r="L83" s="150">
        <v>316440.09999999998</v>
      </c>
      <c r="M83" s="150"/>
      <c r="N83" s="395">
        <f>P83</f>
        <v>3480841.1</v>
      </c>
      <c r="O83" s="395"/>
      <c r="P83" s="395">
        <f>G83*L83</f>
        <v>3480841.1</v>
      </c>
      <c r="Q83" s="395"/>
      <c r="R83" s="150"/>
      <c r="S83" s="396"/>
      <c r="T83" s="149">
        <f>P83</f>
        <v>3480841.1</v>
      </c>
      <c r="U83" s="149">
        <f t="shared" ref="U83:U88" si="28">T83</f>
        <v>3480841.1</v>
      </c>
    </row>
    <row r="84" spans="1:31" hidden="1" x14ac:dyDescent="0.25">
      <c r="A84" s="839"/>
      <c r="B84" s="28" t="s">
        <v>53</v>
      </c>
      <c r="C84" s="28" t="s">
        <v>54</v>
      </c>
      <c r="D84" s="19" t="s">
        <v>24</v>
      </c>
      <c r="E84" s="606">
        <v>19</v>
      </c>
      <c r="F84" s="606">
        <v>19</v>
      </c>
      <c r="G84" s="606">
        <v>19</v>
      </c>
      <c r="H84" s="444">
        <v>19</v>
      </c>
      <c r="I84" s="444">
        <v>19</v>
      </c>
      <c r="J84" s="395"/>
      <c r="K84" s="395"/>
      <c r="L84" s="395"/>
      <c r="M84" s="150"/>
      <c r="N84" s="395">
        <f>S84</f>
        <v>0</v>
      </c>
      <c r="O84" s="395"/>
      <c r="P84" s="395"/>
      <c r="Q84" s="395"/>
      <c r="R84" s="150"/>
      <c r="S84" s="396"/>
      <c r="T84" s="149">
        <f>S84</f>
        <v>0</v>
      </c>
      <c r="U84" s="149">
        <f t="shared" si="28"/>
        <v>0</v>
      </c>
    </row>
    <row r="85" spans="1:31" hidden="1" x14ac:dyDescent="0.25">
      <c r="A85" s="839"/>
      <c r="B85" s="28" t="s">
        <v>53</v>
      </c>
      <c r="C85" s="28" t="s">
        <v>44</v>
      </c>
      <c r="D85" s="19" t="s">
        <v>24</v>
      </c>
      <c r="E85" s="606">
        <v>4</v>
      </c>
      <c r="F85" s="606">
        <v>4</v>
      </c>
      <c r="G85" s="606">
        <v>4</v>
      </c>
      <c r="H85" s="444">
        <v>4</v>
      </c>
      <c r="I85" s="444">
        <v>4</v>
      </c>
      <c r="J85" s="395"/>
      <c r="K85" s="395"/>
      <c r="L85" s="395"/>
      <c r="M85" s="150"/>
      <c r="N85" s="395">
        <f>Q85</f>
        <v>0</v>
      </c>
      <c r="O85" s="395"/>
      <c r="P85" s="395"/>
      <c r="Q85" s="395"/>
      <c r="R85" s="150"/>
      <c r="S85" s="396"/>
      <c r="T85" s="149"/>
      <c r="U85" s="149">
        <f t="shared" si="28"/>
        <v>0</v>
      </c>
      <c r="V85" s="25"/>
      <c r="W85" s="25"/>
    </row>
    <row r="86" spans="1:31" hidden="1" x14ac:dyDescent="0.25">
      <c r="A86" s="839"/>
      <c r="B86" s="28" t="s">
        <v>55</v>
      </c>
      <c r="C86" s="28" t="s">
        <v>54</v>
      </c>
      <c r="D86" s="19"/>
      <c r="E86" s="606"/>
      <c r="F86" s="606"/>
      <c r="G86" s="606"/>
      <c r="H86" s="444"/>
      <c r="I86" s="444"/>
      <c r="J86" s="395"/>
      <c r="K86" s="395"/>
      <c r="L86" s="395"/>
      <c r="M86" s="150"/>
      <c r="N86" s="395">
        <f>S86</f>
        <v>0</v>
      </c>
      <c r="O86" s="395"/>
      <c r="P86" s="395"/>
      <c r="Q86" s="395"/>
      <c r="R86" s="150"/>
      <c r="S86" s="396"/>
      <c r="T86" s="149"/>
      <c r="U86" s="149"/>
    </row>
    <row r="87" spans="1:31" ht="17.399999999999999" customHeight="1" x14ac:dyDescent="0.25">
      <c r="A87" s="839"/>
      <c r="B87" s="28" t="s">
        <v>47</v>
      </c>
      <c r="C87" s="28" t="s">
        <v>44</v>
      </c>
      <c r="D87" s="19"/>
      <c r="E87" s="606">
        <v>25</v>
      </c>
      <c r="F87" s="606">
        <v>23</v>
      </c>
      <c r="G87" s="11">
        <v>23</v>
      </c>
      <c r="H87" s="444">
        <v>25</v>
      </c>
      <c r="I87" s="444">
        <v>25</v>
      </c>
      <c r="J87" s="395"/>
      <c r="K87" s="395"/>
      <c r="L87" s="395"/>
      <c r="M87" s="150"/>
      <c r="N87" s="14">
        <f>SUM(O87:R87)</f>
        <v>5390280</v>
      </c>
      <c r="O87" s="449">
        <f>O78+O72+O60</f>
        <v>5390280</v>
      </c>
      <c r="P87" s="395"/>
      <c r="Q87" s="395"/>
      <c r="R87" s="150"/>
      <c r="S87" s="396"/>
      <c r="T87" s="340">
        <f>T78+T72+T60</f>
        <v>0</v>
      </c>
      <c r="U87" s="340">
        <f>U78+U72+U60</f>
        <v>0</v>
      </c>
    </row>
    <row r="88" spans="1:31" ht="13.95" hidden="1" customHeight="1" x14ac:dyDescent="0.25">
      <c r="A88" s="839"/>
      <c r="B88" s="28" t="s">
        <v>48</v>
      </c>
      <c r="C88" s="28" t="s">
        <v>44</v>
      </c>
      <c r="D88" s="19"/>
      <c r="E88" s="606"/>
      <c r="F88" s="606"/>
      <c r="G88" s="606"/>
      <c r="H88" s="444"/>
      <c r="I88" s="444"/>
      <c r="J88" s="395"/>
      <c r="K88" s="395"/>
      <c r="L88" s="395"/>
      <c r="M88" s="150"/>
      <c r="N88" s="395">
        <f>O88</f>
        <v>0</v>
      </c>
      <c r="O88" s="395"/>
      <c r="P88" s="395"/>
      <c r="Q88" s="395"/>
      <c r="R88" s="150"/>
      <c r="S88" s="396"/>
      <c r="T88" s="149">
        <f>O88</f>
        <v>0</v>
      </c>
      <c r="U88" s="149">
        <f t="shared" si="28"/>
        <v>0</v>
      </c>
    </row>
    <row r="89" spans="1:31" ht="13.95" hidden="1" customHeight="1" x14ac:dyDescent="0.25">
      <c r="A89" s="839"/>
      <c r="B89" s="28" t="s">
        <v>49</v>
      </c>
      <c r="C89" s="28" t="s">
        <v>44</v>
      </c>
      <c r="D89" s="19"/>
      <c r="E89" s="606"/>
      <c r="F89" s="606"/>
      <c r="G89" s="606"/>
      <c r="H89" s="444"/>
      <c r="I89" s="444"/>
      <c r="J89" s="395"/>
      <c r="K89" s="395"/>
      <c r="L89" s="395"/>
      <c r="M89" s="150"/>
      <c r="N89" s="395">
        <f>P89</f>
        <v>0</v>
      </c>
      <c r="O89" s="395"/>
      <c r="P89" s="395"/>
      <c r="Q89" s="395"/>
      <c r="R89" s="150"/>
      <c r="S89" s="396"/>
      <c r="T89" s="149"/>
      <c r="U89" s="149">
        <f>T89</f>
        <v>0</v>
      </c>
    </row>
    <row r="90" spans="1:31" ht="27.6" customHeight="1" x14ac:dyDescent="0.25">
      <c r="A90" s="840"/>
      <c r="B90" s="409" t="s">
        <v>50</v>
      </c>
      <c r="C90" s="409"/>
      <c r="D90" s="409"/>
      <c r="E90" s="607">
        <f>E61+E73+E79</f>
        <v>526</v>
      </c>
      <c r="F90" s="607">
        <f>F61+F73+F79</f>
        <v>533</v>
      </c>
      <c r="G90" s="685">
        <f>G61+G73+G79</f>
        <v>531</v>
      </c>
      <c r="H90" s="757">
        <f>H61+H73+H79</f>
        <v>667</v>
      </c>
      <c r="I90" s="757">
        <f>I61+I73+I79</f>
        <v>708</v>
      </c>
      <c r="J90" s="413"/>
      <c r="K90" s="413"/>
      <c r="L90" s="413"/>
      <c r="M90" s="153"/>
      <c r="N90" s="413">
        <f>SUM(O90:S90)</f>
        <v>80068207.040000007</v>
      </c>
      <c r="O90" s="413">
        <f>O61+O73+O79+O82+O88</f>
        <v>53737883.700000003</v>
      </c>
      <c r="P90" s="413">
        <f>P61+P73+P79+P82+P83+P84+P85+P89</f>
        <v>10828272.17</v>
      </c>
      <c r="Q90" s="413">
        <f>Q61+Q73+Q79+Q82+Q83+Q84+Q85</f>
        <v>0</v>
      </c>
      <c r="R90" s="645">
        <f>R61+R73+R79+R82+R83+R84+R85+R86</f>
        <v>15502051.17</v>
      </c>
      <c r="S90" s="422">
        <f>S61+S73+S79+S82+S83+S84+S85+S86</f>
        <v>0</v>
      </c>
      <c r="T90" s="422">
        <f>T61+T73+T79+T82+T83+T84+T85+T86+T88+T89</f>
        <v>86986184.150000006</v>
      </c>
      <c r="U90" s="422">
        <f>U61+U73+U79+U82+U83+U84+U85+U86+U88+U89</f>
        <v>91328503.579999998</v>
      </c>
      <c r="V90" s="25"/>
      <c r="W90" s="1" t="s">
        <v>437</v>
      </c>
      <c r="AB90" s="1" t="s">
        <v>560</v>
      </c>
    </row>
    <row r="91" spans="1:31" ht="76.2" customHeight="1" x14ac:dyDescent="0.25">
      <c r="A91" s="837" t="s">
        <v>56</v>
      </c>
      <c r="B91" s="829" t="s">
        <v>112</v>
      </c>
      <c r="C91" s="22" t="s">
        <v>23</v>
      </c>
      <c r="D91" s="19" t="s">
        <v>24</v>
      </c>
      <c r="E91" s="695">
        <f>220-1</f>
        <v>219</v>
      </c>
      <c r="F91" s="679">
        <v>208</v>
      </c>
      <c r="G91" s="445">
        <f>175+35</f>
        <v>210</v>
      </c>
      <c r="H91" s="753">
        <f>177+32</f>
        <v>209</v>
      </c>
      <c r="I91" s="753">
        <f>173+32</f>
        <v>205</v>
      </c>
      <c r="J91" s="384">
        <f>SUM(K91:M91)</f>
        <v>81422.03</v>
      </c>
      <c r="K91" s="14">
        <f>36390.31+2198.86</f>
        <v>38589.17</v>
      </c>
      <c r="L91" s="14">
        <v>13638.79</v>
      </c>
      <c r="M91" s="478">
        <v>29194.07</v>
      </c>
      <c r="N91" s="427">
        <f>SUM(O91:R91)</f>
        <v>17098626.300000001</v>
      </c>
      <c r="O91" s="427">
        <f>G91*K91</f>
        <v>8103725.7000000002</v>
      </c>
      <c r="P91" s="478">
        <f>G91*L91</f>
        <v>2864145.9</v>
      </c>
      <c r="Q91" s="427"/>
      <c r="R91" s="150">
        <f>G91*M91</f>
        <v>6130754.7000000002</v>
      </c>
      <c r="S91" s="149"/>
      <c r="T91" s="149">
        <f>W91</f>
        <v>17017204.27</v>
      </c>
      <c r="U91" s="149">
        <f>AB91</f>
        <v>16691516.15</v>
      </c>
      <c r="W91" s="449">
        <f>SUM(X91:AA91)</f>
        <v>17017204.27</v>
      </c>
      <c r="X91" s="395">
        <f>H91*K91</f>
        <v>8065136.5300000003</v>
      </c>
      <c r="Y91" s="14">
        <f>H91*L91</f>
        <v>2850507.11</v>
      </c>
      <c r="Z91" s="395">
        <f>H91*M91</f>
        <v>6101560.6299999999</v>
      </c>
      <c r="AB91" s="449">
        <f>SUM(AC91:AF91)</f>
        <v>16691516.15</v>
      </c>
      <c r="AC91" s="395">
        <f>I91*K91</f>
        <v>7910779.8499999996</v>
      </c>
      <c r="AD91" s="14">
        <f>I91*L91</f>
        <v>2795951.95</v>
      </c>
      <c r="AE91" s="395">
        <f>I91*M91</f>
        <v>5984784.3499999996</v>
      </c>
    </row>
    <row r="92" spans="1:31" ht="82.8" x14ac:dyDescent="0.25">
      <c r="A92" s="837"/>
      <c r="B92" s="830"/>
      <c r="C92" s="405" t="s">
        <v>25</v>
      </c>
      <c r="D92" s="19" t="s">
        <v>24</v>
      </c>
      <c r="E92" s="11" t="s">
        <v>26</v>
      </c>
      <c r="F92" s="11" t="s">
        <v>26</v>
      </c>
      <c r="G92" s="11" t="s">
        <v>26</v>
      </c>
      <c r="H92" s="415" t="s">
        <v>26</v>
      </c>
      <c r="I92" s="415" t="s">
        <v>26</v>
      </c>
      <c r="J92" s="426" t="s">
        <v>26</v>
      </c>
      <c r="K92" s="426" t="s">
        <v>26</v>
      </c>
      <c r="L92" s="426" t="s">
        <v>26</v>
      </c>
      <c r="M92" s="415" t="s">
        <v>26</v>
      </c>
      <c r="N92" s="426"/>
      <c r="O92" s="426"/>
      <c r="P92" s="426" t="s">
        <v>26</v>
      </c>
      <c r="Q92" s="426"/>
      <c r="R92" s="415" t="s">
        <v>26</v>
      </c>
      <c r="S92" s="10"/>
      <c r="T92" s="149"/>
      <c r="U92" s="149"/>
    </row>
    <row r="93" spans="1:31" x14ac:dyDescent="0.25">
      <c r="A93" s="837"/>
      <c r="B93" s="830"/>
      <c r="C93" s="405" t="s">
        <v>57</v>
      </c>
      <c r="D93" s="19" t="s">
        <v>24</v>
      </c>
      <c r="E93" s="11">
        <v>1</v>
      </c>
      <c r="F93" s="679">
        <v>1</v>
      </c>
      <c r="G93" s="11">
        <v>1</v>
      </c>
      <c r="H93" s="415">
        <v>1</v>
      </c>
      <c r="I93" s="415">
        <v>1</v>
      </c>
      <c r="J93" s="150">
        <f t="shared" ref="J93:J98" si="29">K93</f>
        <v>164394.18</v>
      </c>
      <c r="K93" s="150">
        <v>164394.18</v>
      </c>
      <c r="L93" s="426" t="s">
        <v>26</v>
      </c>
      <c r="M93" s="415" t="s">
        <v>26</v>
      </c>
      <c r="N93" s="427">
        <f t="shared" ref="N93:N98" si="30">O93</f>
        <v>164394.18</v>
      </c>
      <c r="O93" s="427">
        <f>G93*K93</f>
        <v>164394.18</v>
      </c>
      <c r="P93" s="426" t="s">
        <v>26</v>
      </c>
      <c r="Q93" s="426"/>
      <c r="R93" s="415" t="s">
        <v>26</v>
      </c>
      <c r="S93" s="10"/>
      <c r="T93" s="149">
        <f t="shared" ref="T93:T98" si="31">H93*K93</f>
        <v>164394.18</v>
      </c>
      <c r="U93" s="149">
        <f t="shared" ref="U93:U98" si="32">I93*K93</f>
        <v>164394.18</v>
      </c>
    </row>
    <row r="94" spans="1:31" x14ac:dyDescent="0.25">
      <c r="A94" s="837"/>
      <c r="B94" s="830"/>
      <c r="C94" s="405" t="s">
        <v>27</v>
      </c>
      <c r="D94" s="19" t="s">
        <v>24</v>
      </c>
      <c r="E94" s="11"/>
      <c r="F94" s="11"/>
      <c r="G94" s="11">
        <v>0</v>
      </c>
      <c r="H94" s="415">
        <v>0</v>
      </c>
      <c r="I94" s="415">
        <v>0</v>
      </c>
      <c r="J94" s="150">
        <f t="shared" si="29"/>
        <v>148440.13</v>
      </c>
      <c r="K94" s="150">
        <v>148440.13</v>
      </c>
      <c r="L94" s="426" t="s">
        <v>26</v>
      </c>
      <c r="M94" s="415" t="s">
        <v>26</v>
      </c>
      <c r="N94" s="427">
        <f t="shared" si="30"/>
        <v>0</v>
      </c>
      <c r="O94" s="427">
        <f t="shared" ref="O94:O98" si="33">G94*K94</f>
        <v>0</v>
      </c>
      <c r="P94" s="426" t="s">
        <v>26</v>
      </c>
      <c r="Q94" s="426"/>
      <c r="R94" s="415" t="s">
        <v>26</v>
      </c>
      <c r="S94" s="10"/>
      <c r="T94" s="149">
        <f t="shared" si="31"/>
        <v>0</v>
      </c>
      <c r="U94" s="149">
        <f t="shared" si="32"/>
        <v>0</v>
      </c>
    </row>
    <row r="95" spans="1:31" x14ac:dyDescent="0.25">
      <c r="A95" s="837"/>
      <c r="B95" s="830"/>
      <c r="C95" s="405" t="s">
        <v>28</v>
      </c>
      <c r="D95" s="19" t="s">
        <v>24</v>
      </c>
      <c r="E95" s="695">
        <f>24-1</f>
        <v>23</v>
      </c>
      <c r="F95" s="679">
        <f>24-7</f>
        <v>17</v>
      </c>
      <c r="G95" s="11">
        <v>17</v>
      </c>
      <c r="H95" s="415">
        <v>15</v>
      </c>
      <c r="I95" s="415">
        <v>15</v>
      </c>
      <c r="J95" s="150">
        <f t="shared" si="29"/>
        <v>164394.18</v>
      </c>
      <c r="K95" s="150">
        <v>164394.18</v>
      </c>
      <c r="L95" s="426" t="s">
        <v>26</v>
      </c>
      <c r="M95" s="415" t="s">
        <v>26</v>
      </c>
      <c r="N95" s="427">
        <f t="shared" si="30"/>
        <v>2794701.06</v>
      </c>
      <c r="O95" s="427">
        <f t="shared" si="33"/>
        <v>2794701.06</v>
      </c>
      <c r="P95" s="426" t="s">
        <v>26</v>
      </c>
      <c r="Q95" s="426"/>
      <c r="R95" s="415" t="s">
        <v>26</v>
      </c>
      <c r="S95" s="10"/>
      <c r="T95" s="149">
        <f t="shared" si="31"/>
        <v>2465912.7000000002</v>
      </c>
      <c r="U95" s="149">
        <f t="shared" si="32"/>
        <v>2465912.7000000002</v>
      </c>
    </row>
    <row r="96" spans="1:31" x14ac:dyDescent="0.25">
      <c r="A96" s="837"/>
      <c r="B96" s="830"/>
      <c r="C96" s="405" t="s">
        <v>29</v>
      </c>
      <c r="D96" s="19" t="s">
        <v>24</v>
      </c>
      <c r="E96" s="11">
        <v>1</v>
      </c>
      <c r="F96" s="679">
        <v>1</v>
      </c>
      <c r="G96" s="11">
        <v>1</v>
      </c>
      <c r="H96" s="415">
        <v>1</v>
      </c>
      <c r="I96" s="415">
        <v>1</v>
      </c>
      <c r="J96" s="150">
        <f t="shared" si="29"/>
        <v>196302.28</v>
      </c>
      <c r="K96" s="150">
        <v>196302.28</v>
      </c>
      <c r="L96" s="426" t="s">
        <v>26</v>
      </c>
      <c r="M96" s="415" t="s">
        <v>26</v>
      </c>
      <c r="N96" s="427">
        <f t="shared" si="30"/>
        <v>196302.28</v>
      </c>
      <c r="O96" s="427">
        <f t="shared" si="33"/>
        <v>196302.28</v>
      </c>
      <c r="P96" s="426" t="s">
        <v>26</v>
      </c>
      <c r="Q96" s="426"/>
      <c r="R96" s="415" t="s">
        <v>26</v>
      </c>
      <c r="S96" s="10"/>
      <c r="T96" s="149">
        <f t="shared" si="31"/>
        <v>196302.28</v>
      </c>
      <c r="U96" s="149">
        <f t="shared" si="32"/>
        <v>196302.28</v>
      </c>
    </row>
    <row r="97" spans="1:31" x14ac:dyDescent="0.25">
      <c r="A97" s="837"/>
      <c r="B97" s="830"/>
      <c r="C97" s="405" t="s">
        <v>30</v>
      </c>
      <c r="D97" s="19" t="s">
        <v>24</v>
      </c>
      <c r="E97" s="11">
        <v>15</v>
      </c>
      <c r="F97" s="679">
        <v>16</v>
      </c>
      <c r="G97" s="11">
        <v>16</v>
      </c>
      <c r="H97" s="415">
        <f>15</f>
        <v>15</v>
      </c>
      <c r="I97" s="415">
        <f>15</f>
        <v>15</v>
      </c>
      <c r="J97" s="150">
        <f t="shared" si="29"/>
        <v>162574.21</v>
      </c>
      <c r="K97" s="150">
        <v>162574.21</v>
      </c>
      <c r="L97" s="426" t="s">
        <v>26</v>
      </c>
      <c r="M97" s="415" t="s">
        <v>26</v>
      </c>
      <c r="N97" s="427">
        <f t="shared" si="30"/>
        <v>2601187.36</v>
      </c>
      <c r="O97" s="427">
        <f t="shared" si="33"/>
        <v>2601187.36</v>
      </c>
      <c r="P97" s="426" t="s">
        <v>26</v>
      </c>
      <c r="Q97" s="426"/>
      <c r="R97" s="415" t="s">
        <v>26</v>
      </c>
      <c r="S97" s="10"/>
      <c r="T97" s="149">
        <f t="shared" si="31"/>
        <v>2438613.15</v>
      </c>
      <c r="U97" s="149">
        <f t="shared" si="32"/>
        <v>2438613.15</v>
      </c>
    </row>
    <row r="98" spans="1:31" x14ac:dyDescent="0.25">
      <c r="A98" s="837"/>
      <c r="B98" s="830"/>
      <c r="C98" s="405" t="s">
        <v>34</v>
      </c>
      <c r="D98" s="19" t="s">
        <v>24</v>
      </c>
      <c r="E98" s="445"/>
      <c r="F98" s="445"/>
      <c r="G98" s="11">
        <v>0</v>
      </c>
      <c r="H98" s="415">
        <v>0</v>
      </c>
      <c r="I98" s="415">
        <v>0</v>
      </c>
      <c r="J98" s="150">
        <f t="shared" si="29"/>
        <v>146900.85999999999</v>
      </c>
      <c r="K98" s="150">
        <v>146900.85999999999</v>
      </c>
      <c r="L98" s="426" t="s">
        <v>26</v>
      </c>
      <c r="M98" s="415" t="s">
        <v>26</v>
      </c>
      <c r="N98" s="427">
        <f t="shared" si="30"/>
        <v>0</v>
      </c>
      <c r="O98" s="427">
        <f t="shared" si="33"/>
        <v>0</v>
      </c>
      <c r="P98" s="426" t="s">
        <v>26</v>
      </c>
      <c r="Q98" s="426"/>
      <c r="R98" s="415" t="s">
        <v>26</v>
      </c>
      <c r="S98" s="10"/>
      <c r="T98" s="149">
        <f t="shared" si="31"/>
        <v>0</v>
      </c>
      <c r="U98" s="149">
        <f t="shared" si="32"/>
        <v>0</v>
      </c>
      <c r="W98" s="493" t="s">
        <v>351</v>
      </c>
    </row>
    <row r="99" spans="1:31" ht="82.95" customHeight="1" x14ac:dyDescent="0.25">
      <c r="A99" s="837"/>
      <c r="B99" s="830"/>
      <c r="C99" s="405" t="s">
        <v>35</v>
      </c>
      <c r="D99" s="19" t="s">
        <v>24</v>
      </c>
      <c r="E99" s="11">
        <v>2</v>
      </c>
      <c r="F99" s="679">
        <v>1</v>
      </c>
      <c r="G99" s="11">
        <v>1</v>
      </c>
      <c r="H99" s="415">
        <v>1</v>
      </c>
      <c r="I99" s="415">
        <v>1</v>
      </c>
      <c r="J99" s="150">
        <f>SUM(K99:M99)</f>
        <v>490148.29</v>
      </c>
      <c r="K99" s="150">
        <f>445116.57+2198.86</f>
        <v>447315.43</v>
      </c>
      <c r="L99" s="14">
        <v>13638.79</v>
      </c>
      <c r="M99" s="478">
        <v>29194.07</v>
      </c>
      <c r="N99" s="427">
        <f>SUM(O99:R99)</f>
        <v>490148.29</v>
      </c>
      <c r="O99" s="427">
        <f>G99*K99</f>
        <v>447315.43</v>
      </c>
      <c r="P99" s="427">
        <f>G99*L99</f>
        <v>13638.79</v>
      </c>
      <c r="Q99" s="427"/>
      <c r="R99" s="150">
        <f>G99*M99</f>
        <v>29194.07</v>
      </c>
      <c r="S99" s="149"/>
      <c r="T99" s="149">
        <f>W99</f>
        <v>490148.29</v>
      </c>
      <c r="U99" s="149">
        <f>AB99</f>
        <v>490148.29</v>
      </c>
      <c r="W99" s="449">
        <f>SUM(X99:AA99)</f>
        <v>490148.29</v>
      </c>
      <c r="X99" s="395">
        <f>H99*K99</f>
        <v>447315.43</v>
      </c>
      <c r="Y99" s="14">
        <f>H99*L99</f>
        <v>13638.79</v>
      </c>
      <c r="Z99" s="395">
        <f>H99*M99</f>
        <v>29194.07</v>
      </c>
      <c r="AB99" s="449">
        <f>SUM(AC99:AF99)</f>
        <v>490148.29</v>
      </c>
      <c r="AC99" s="395">
        <f>I99*K99</f>
        <v>447315.43</v>
      </c>
      <c r="AD99" s="14">
        <f>I99*L99</f>
        <v>13638.79</v>
      </c>
      <c r="AE99" s="395">
        <f>I99*M99</f>
        <v>29194.07</v>
      </c>
    </row>
    <row r="100" spans="1:31" ht="13.95" customHeight="1" x14ac:dyDescent="0.25">
      <c r="A100" s="837"/>
      <c r="B100" s="830"/>
      <c r="C100" s="419" t="s">
        <v>58</v>
      </c>
      <c r="D100" s="19" t="s">
        <v>59</v>
      </c>
      <c r="E100" s="11">
        <v>8</v>
      </c>
      <c r="F100" s="11">
        <v>8</v>
      </c>
      <c r="G100" s="11">
        <v>8</v>
      </c>
      <c r="H100" s="415">
        <v>8</v>
      </c>
      <c r="I100" s="415">
        <v>8</v>
      </c>
      <c r="J100" s="150">
        <f>SUM(K100:M100)</f>
        <v>234360</v>
      </c>
      <c r="K100" s="150">
        <f>10000*1.5*1.302*12</f>
        <v>234360</v>
      </c>
      <c r="L100" s="384"/>
      <c r="M100" s="14"/>
      <c r="N100" s="14">
        <f>SUM(O100:R100)</f>
        <v>1874880</v>
      </c>
      <c r="O100" s="478">
        <f>G100*K100</f>
        <v>1874880</v>
      </c>
      <c r="P100" s="427"/>
      <c r="Q100" s="427"/>
      <c r="R100" s="150"/>
      <c r="S100" s="149"/>
      <c r="T100" s="149">
        <f>H100*K100-1874880</f>
        <v>0</v>
      </c>
      <c r="U100" s="149">
        <f>I100*K100-1874880</f>
        <v>0</v>
      </c>
    </row>
    <row r="101" spans="1:31" ht="27.6" customHeight="1" x14ac:dyDescent="0.25">
      <c r="A101" s="837"/>
      <c r="B101" s="831"/>
      <c r="C101" s="420" t="s">
        <v>38</v>
      </c>
      <c r="D101" s="19"/>
      <c r="E101" s="605">
        <f>E91+E99</f>
        <v>221</v>
      </c>
      <c r="F101" s="682">
        <f>F91+F99</f>
        <v>209</v>
      </c>
      <c r="G101" s="681">
        <f>G91+G99</f>
        <v>211</v>
      </c>
      <c r="H101" s="754">
        <f>H91+H99</f>
        <v>210</v>
      </c>
      <c r="I101" s="754">
        <f>I91+I99</f>
        <v>206</v>
      </c>
      <c r="J101" s="427" t="s">
        <v>26</v>
      </c>
      <c r="K101" s="427" t="s">
        <v>26</v>
      </c>
      <c r="L101" s="427" t="s">
        <v>26</v>
      </c>
      <c r="M101" s="14" t="s">
        <v>26</v>
      </c>
      <c r="N101" s="431">
        <f t="shared" ref="N101:U101" si="34">SUM(N91:N100)</f>
        <v>25220239.469999999</v>
      </c>
      <c r="O101" s="431">
        <f t="shared" si="34"/>
        <v>16182506.01</v>
      </c>
      <c r="P101" s="431">
        <f t="shared" si="34"/>
        <v>2877784.69</v>
      </c>
      <c r="Q101" s="431">
        <f t="shared" si="34"/>
        <v>0</v>
      </c>
      <c r="R101" s="772">
        <f t="shared" si="34"/>
        <v>6159948.7699999996</v>
      </c>
      <c r="S101" s="431">
        <f t="shared" si="34"/>
        <v>0</v>
      </c>
      <c r="T101" s="431">
        <f t="shared" si="34"/>
        <v>22772574.870000001</v>
      </c>
      <c r="U101" s="431">
        <f t="shared" si="34"/>
        <v>22446886.75</v>
      </c>
      <c r="W101" s="1" t="s">
        <v>437</v>
      </c>
      <c r="AB101" s="1" t="s">
        <v>560</v>
      </c>
    </row>
    <row r="102" spans="1:31" ht="72.599999999999994" customHeight="1" x14ac:dyDescent="0.25">
      <c r="A102" s="837"/>
      <c r="B102" s="829" t="s">
        <v>312</v>
      </c>
      <c r="C102" s="22" t="s">
        <v>23</v>
      </c>
      <c r="D102" s="19" t="s">
        <v>24</v>
      </c>
      <c r="E102" s="11">
        <v>230</v>
      </c>
      <c r="F102" s="679">
        <v>223</v>
      </c>
      <c r="G102" s="11">
        <f>217+G108</f>
        <v>222</v>
      </c>
      <c r="H102" s="415">
        <f>207+H108</f>
        <v>219</v>
      </c>
      <c r="I102" s="415">
        <f>209+I108</f>
        <v>228</v>
      </c>
      <c r="J102" s="384">
        <f>SUM(K102:M102)</f>
        <v>99728.75</v>
      </c>
      <c r="K102" s="14">
        <f>54145.32+2750.57</f>
        <v>56895.89</v>
      </c>
      <c r="L102" s="14">
        <v>13638.79</v>
      </c>
      <c r="M102" s="478">
        <v>29194.07</v>
      </c>
      <c r="N102" s="14">
        <f>SUM(O102:R102)</f>
        <v>22139782.5</v>
      </c>
      <c r="O102" s="427">
        <f>G102*K102</f>
        <v>12630887.58</v>
      </c>
      <c r="P102" s="14">
        <f>G102*L102</f>
        <v>3027811.38</v>
      </c>
      <c r="Q102" s="427"/>
      <c r="R102" s="150">
        <f>G102*M102</f>
        <v>6481083.54</v>
      </c>
      <c r="S102" s="149"/>
      <c r="T102" s="149">
        <f>W102</f>
        <v>21840596.25</v>
      </c>
      <c r="U102" s="149">
        <f>AB102</f>
        <v>22738155</v>
      </c>
      <c r="W102" s="449">
        <f>SUM(X102:AA102)</f>
        <v>21840596.25</v>
      </c>
      <c r="X102" s="395">
        <f>H102*K102</f>
        <v>12460199.91</v>
      </c>
      <c r="Y102" s="611">
        <f>H102*L102</f>
        <v>2986895.01</v>
      </c>
      <c r="Z102" s="395">
        <f>H102*M102</f>
        <v>6393501.3300000001</v>
      </c>
      <c r="AB102" s="449">
        <f>SUM(AC102:AF102)</f>
        <v>22738155</v>
      </c>
      <c r="AC102" s="395">
        <f>I102*K102</f>
        <v>12972262.92</v>
      </c>
      <c r="AD102" s="611">
        <f>I102*L102</f>
        <v>3109644.12</v>
      </c>
      <c r="AE102" s="395">
        <f>I102*M102</f>
        <v>6656247.96</v>
      </c>
    </row>
    <row r="103" spans="1:31" ht="96.6" x14ac:dyDescent="0.25">
      <c r="A103" s="837"/>
      <c r="B103" s="830"/>
      <c r="C103" s="22" t="s">
        <v>63</v>
      </c>
      <c r="D103" s="19" t="s">
        <v>24</v>
      </c>
      <c r="E103" s="702">
        <f>69+1</f>
        <v>70</v>
      </c>
      <c r="F103" s="687">
        <v>73</v>
      </c>
      <c r="G103" s="745">
        <v>73</v>
      </c>
      <c r="H103" s="745">
        <v>78</v>
      </c>
      <c r="I103" s="745">
        <v>73</v>
      </c>
      <c r="J103" s="384">
        <f>SUM(K103:M103)</f>
        <v>105712.05</v>
      </c>
      <c r="K103" s="14">
        <f>60128.62+2750.57</f>
        <v>62879.19</v>
      </c>
      <c r="L103" s="14">
        <v>13638.79</v>
      </c>
      <c r="M103" s="478">
        <v>29194.07</v>
      </c>
      <c r="N103" s="497">
        <f>SUM(O103:R103)</f>
        <v>7716979.6500000004</v>
      </c>
      <c r="O103" s="497">
        <f>G103*K103</f>
        <v>4590180.87</v>
      </c>
      <c r="P103" s="14">
        <f>G103*L103</f>
        <v>995631.67</v>
      </c>
      <c r="Q103" s="497"/>
      <c r="R103" s="150">
        <f>G103*M103</f>
        <v>2131167.11</v>
      </c>
      <c r="S103" s="149"/>
      <c r="T103" s="149">
        <f>W103</f>
        <v>8245539.9000000004</v>
      </c>
      <c r="U103" s="149">
        <f>AB103</f>
        <v>7716979.6500000004</v>
      </c>
      <c r="W103" s="449">
        <f>SUM(X103:AA103)</f>
        <v>8245539.9000000004</v>
      </c>
      <c r="X103" s="395">
        <f>H103*K103</f>
        <v>4904576.82</v>
      </c>
      <c r="Y103" s="14">
        <f>H103*L103</f>
        <v>1063825.6200000001</v>
      </c>
      <c r="Z103" s="395">
        <f>H103*M103</f>
        <v>2277137.46</v>
      </c>
      <c r="AB103" s="449">
        <f>SUM(AC103:AF103)</f>
        <v>7716979.6500000004</v>
      </c>
      <c r="AC103" s="395">
        <f>I103*K103</f>
        <v>4590180.87</v>
      </c>
      <c r="AD103" s="14">
        <f>I103*L103</f>
        <v>995631.67</v>
      </c>
      <c r="AE103" s="395">
        <f>I103*M103</f>
        <v>2131167.11</v>
      </c>
    </row>
    <row r="104" spans="1:31" ht="82.8" x14ac:dyDescent="0.25">
      <c r="A104" s="837"/>
      <c r="B104" s="830"/>
      <c r="C104" s="405" t="s">
        <v>25</v>
      </c>
      <c r="D104" s="19" t="s">
        <v>24</v>
      </c>
      <c r="E104" s="10" t="s">
        <v>26</v>
      </c>
      <c r="F104" s="10" t="s">
        <v>26</v>
      </c>
      <c r="G104" s="11" t="s">
        <v>26</v>
      </c>
      <c r="H104" s="415" t="s">
        <v>26</v>
      </c>
      <c r="I104" s="415" t="s">
        <v>26</v>
      </c>
      <c r="J104" s="426" t="s">
        <v>26</v>
      </c>
      <c r="K104" s="426" t="s">
        <v>26</v>
      </c>
      <c r="L104" s="426" t="s">
        <v>26</v>
      </c>
      <c r="M104" s="415" t="s">
        <v>26</v>
      </c>
      <c r="N104" s="427"/>
      <c r="O104" s="427"/>
      <c r="P104" s="426" t="s">
        <v>26</v>
      </c>
      <c r="Q104" s="426"/>
      <c r="R104" s="415" t="s">
        <v>26</v>
      </c>
      <c r="S104" s="10"/>
      <c r="T104" s="149"/>
      <c r="U104" s="149"/>
    </row>
    <row r="105" spans="1:31" x14ac:dyDescent="0.25">
      <c r="A105" s="837"/>
      <c r="B105" s="830"/>
      <c r="C105" s="405" t="s">
        <v>57</v>
      </c>
      <c r="D105" s="19" t="s">
        <v>24</v>
      </c>
      <c r="E105" s="606">
        <f>1-1</f>
        <v>0</v>
      </c>
      <c r="F105" s="606">
        <f>1-1</f>
        <v>0</v>
      </c>
      <c r="G105" s="11">
        <v>0</v>
      </c>
      <c r="H105" s="444">
        <v>0</v>
      </c>
      <c r="I105" s="444">
        <v>0</v>
      </c>
      <c r="J105" s="150">
        <f>K105</f>
        <v>87898.44</v>
      </c>
      <c r="K105" s="150">
        <v>87898.44</v>
      </c>
      <c r="L105" s="426" t="s">
        <v>26</v>
      </c>
      <c r="M105" s="415" t="s">
        <v>26</v>
      </c>
      <c r="N105" s="427">
        <f>O105</f>
        <v>0</v>
      </c>
      <c r="O105" s="427">
        <f>G105*K105</f>
        <v>0</v>
      </c>
      <c r="P105" s="426" t="s">
        <v>26</v>
      </c>
      <c r="Q105" s="426"/>
      <c r="R105" s="415" t="s">
        <v>26</v>
      </c>
      <c r="S105" s="10"/>
      <c r="T105" s="149">
        <f>H105*K105</f>
        <v>0</v>
      </c>
      <c r="U105" s="149">
        <f>I105*K105</f>
        <v>0</v>
      </c>
    </row>
    <row r="106" spans="1:31" x14ac:dyDescent="0.25">
      <c r="A106" s="837"/>
      <c r="B106" s="830"/>
      <c r="C106" s="405" t="s">
        <v>27</v>
      </c>
      <c r="D106" s="19" t="s">
        <v>24</v>
      </c>
      <c r="E106" s="606">
        <f>1-1</f>
        <v>0</v>
      </c>
      <c r="F106" s="606">
        <f>1-1</f>
        <v>0</v>
      </c>
      <c r="G106" s="11">
        <v>0</v>
      </c>
      <c r="H106" s="444">
        <v>0</v>
      </c>
      <c r="I106" s="444">
        <v>0</v>
      </c>
      <c r="J106" s="150">
        <f>K106</f>
        <v>71944.38</v>
      </c>
      <c r="K106" s="150">
        <v>71944.38</v>
      </c>
      <c r="L106" s="426" t="s">
        <v>26</v>
      </c>
      <c r="M106" s="415" t="s">
        <v>26</v>
      </c>
      <c r="N106" s="427">
        <f>O106</f>
        <v>0</v>
      </c>
      <c r="O106" s="427">
        <f>G106*K106</f>
        <v>0</v>
      </c>
      <c r="P106" s="426" t="s">
        <v>26</v>
      </c>
      <c r="Q106" s="426"/>
      <c r="R106" s="415" t="s">
        <v>26</v>
      </c>
      <c r="S106" s="10"/>
      <c r="T106" s="149">
        <f>H106*K106</f>
        <v>0</v>
      </c>
      <c r="U106" s="149">
        <f>I106*K106</f>
        <v>0</v>
      </c>
    </row>
    <row r="107" spans="1:31" x14ac:dyDescent="0.25">
      <c r="A107" s="837"/>
      <c r="B107" s="830"/>
      <c r="C107" s="405" t="s">
        <v>29</v>
      </c>
      <c r="D107" s="19" t="s">
        <v>24</v>
      </c>
      <c r="E107" s="606"/>
      <c r="F107" s="606"/>
      <c r="G107" s="11">
        <v>0</v>
      </c>
      <c r="H107" s="444"/>
      <c r="I107" s="444"/>
      <c r="J107" s="150">
        <f>K107</f>
        <v>119806.54</v>
      </c>
      <c r="K107" s="150">
        <v>119806.54</v>
      </c>
      <c r="L107" s="426" t="s">
        <v>26</v>
      </c>
      <c r="M107" s="415" t="s">
        <v>26</v>
      </c>
      <c r="N107" s="427">
        <f>O107</f>
        <v>0</v>
      </c>
      <c r="O107" s="427">
        <f t="shared" ref="O107" si="35">G107*K107</f>
        <v>0</v>
      </c>
      <c r="P107" s="426" t="s">
        <v>26</v>
      </c>
      <c r="Q107" s="426"/>
      <c r="R107" s="415" t="s">
        <v>26</v>
      </c>
      <c r="S107" s="10"/>
      <c r="T107" s="149">
        <f>H107*K107</f>
        <v>0</v>
      </c>
      <c r="U107" s="149">
        <f>I107*K107</f>
        <v>0</v>
      </c>
    </row>
    <row r="108" spans="1:31" x14ac:dyDescent="0.25">
      <c r="A108" s="837"/>
      <c r="B108" s="830"/>
      <c r="C108" s="405" t="s">
        <v>34</v>
      </c>
      <c r="D108" s="19" t="s">
        <v>24</v>
      </c>
      <c r="E108" s="693">
        <f>2+2</f>
        <v>4</v>
      </c>
      <c r="F108" s="683">
        <v>5</v>
      </c>
      <c r="G108" s="11">
        <v>5</v>
      </c>
      <c r="H108" s="444">
        <v>12</v>
      </c>
      <c r="I108" s="444">
        <v>19</v>
      </c>
      <c r="J108" s="150">
        <f>K108</f>
        <v>18697.54</v>
      </c>
      <c r="K108" s="150">
        <v>18697.54</v>
      </c>
      <c r="L108" s="426" t="s">
        <v>26</v>
      </c>
      <c r="M108" s="415" t="s">
        <v>26</v>
      </c>
      <c r="N108" s="14">
        <f>O108</f>
        <v>93487.7</v>
      </c>
      <c r="O108" s="427">
        <f>G108*K108</f>
        <v>93487.7</v>
      </c>
      <c r="P108" s="426" t="s">
        <v>26</v>
      </c>
      <c r="Q108" s="426"/>
      <c r="R108" s="415" t="s">
        <v>26</v>
      </c>
      <c r="S108" s="10"/>
      <c r="T108" s="149">
        <f>H108*K108</f>
        <v>224370.48</v>
      </c>
      <c r="U108" s="149">
        <f>I108*K108</f>
        <v>355253.26</v>
      </c>
    </row>
    <row r="109" spans="1:31" ht="82.95" customHeight="1" x14ac:dyDescent="0.25">
      <c r="A109" s="837"/>
      <c r="B109" s="831"/>
      <c r="C109" s="405" t="s">
        <v>35</v>
      </c>
      <c r="D109" s="19" t="s">
        <v>24</v>
      </c>
      <c r="E109" s="606">
        <v>1</v>
      </c>
      <c r="F109" s="683">
        <v>1</v>
      </c>
      <c r="G109" s="11">
        <v>0</v>
      </c>
      <c r="H109" s="444">
        <v>1</v>
      </c>
      <c r="I109" s="444">
        <v>1</v>
      </c>
      <c r="J109" s="150">
        <f>SUM(K109:M109)</f>
        <v>547313.25</v>
      </c>
      <c r="K109" s="150">
        <f>501729.82+2750.57</f>
        <v>504480.39</v>
      </c>
      <c r="L109" s="14">
        <v>13638.79</v>
      </c>
      <c r="M109" s="478">
        <v>29194.07</v>
      </c>
      <c r="N109" s="395">
        <f>SUM(O109:R109)</f>
        <v>0</v>
      </c>
      <c r="O109" s="427">
        <f>G109*K109</f>
        <v>0</v>
      </c>
      <c r="P109" s="427">
        <f>G109*L109</f>
        <v>0</v>
      </c>
      <c r="Q109" s="395"/>
      <c r="R109" s="150">
        <f>G109*M109</f>
        <v>0</v>
      </c>
      <c r="S109" s="149"/>
      <c r="T109" s="149">
        <f>W109</f>
        <v>547313.25</v>
      </c>
      <c r="U109" s="149">
        <f>AB109</f>
        <v>547313.25</v>
      </c>
      <c r="W109" s="449">
        <f>SUM(X109:AA109)</f>
        <v>547313.25</v>
      </c>
      <c r="X109" s="395">
        <f>H109*K109</f>
        <v>504480.39</v>
      </c>
      <c r="Y109" s="14">
        <f>H109*L109</f>
        <v>13638.79</v>
      </c>
      <c r="Z109" s="395">
        <f>H109*M109</f>
        <v>29194.07</v>
      </c>
      <c r="AB109" s="449">
        <f>SUM(AC109:AF109)</f>
        <v>547313.25</v>
      </c>
      <c r="AC109" s="395">
        <f>I109*K109</f>
        <v>504480.39</v>
      </c>
      <c r="AD109" s="14">
        <f>I109*L109</f>
        <v>13638.79</v>
      </c>
      <c r="AE109" s="395">
        <f>I109*M109</f>
        <v>29194.07</v>
      </c>
    </row>
    <row r="110" spans="1:31" ht="13.95" customHeight="1" x14ac:dyDescent="0.25">
      <c r="A110" s="837"/>
      <c r="B110" s="402"/>
      <c r="C110" s="419" t="s">
        <v>58</v>
      </c>
      <c r="D110" s="19" t="s">
        <v>59</v>
      </c>
      <c r="E110" s="606">
        <v>11</v>
      </c>
      <c r="F110" s="606">
        <v>11</v>
      </c>
      <c r="G110" s="11">
        <v>11</v>
      </c>
      <c r="H110" s="444">
        <v>11</v>
      </c>
      <c r="I110" s="444">
        <v>11</v>
      </c>
      <c r="J110" s="150">
        <f>SUM(K110:M110)</f>
        <v>234360</v>
      </c>
      <c r="K110" s="150">
        <f>10000*1.5*1.302*12</f>
        <v>234360</v>
      </c>
      <c r="L110" s="384"/>
      <c r="M110" s="14"/>
      <c r="N110" s="150">
        <f>SUM(O110:R110)</f>
        <v>2577960</v>
      </c>
      <c r="O110" s="478">
        <f>G110*K110</f>
        <v>2577960</v>
      </c>
      <c r="P110" s="427"/>
      <c r="Q110" s="395"/>
      <c r="R110" s="150"/>
      <c r="S110" s="149"/>
      <c r="T110" s="149">
        <f>H110*K110-2577960</f>
        <v>0</v>
      </c>
      <c r="U110" s="149">
        <f>I110*K110-2577960</f>
        <v>0</v>
      </c>
    </row>
    <row r="111" spans="1:31" ht="18" customHeight="1" x14ac:dyDescent="0.25">
      <c r="A111" s="837"/>
      <c r="B111" s="402"/>
      <c r="C111" s="420" t="s">
        <v>38</v>
      </c>
      <c r="D111" s="19"/>
      <c r="E111" s="607">
        <f>E102+E103+E109</f>
        <v>301</v>
      </c>
      <c r="F111" s="692">
        <f>F102+F103+F109</f>
        <v>297</v>
      </c>
      <c r="G111" s="685">
        <f>G102+G103+G109</f>
        <v>295</v>
      </c>
      <c r="H111" s="757">
        <f>H102+H103+H109</f>
        <v>298</v>
      </c>
      <c r="I111" s="757">
        <f>I102+I103+I109</f>
        <v>302</v>
      </c>
      <c r="J111" s="395" t="s">
        <v>26</v>
      </c>
      <c r="K111" s="395" t="s">
        <v>26</v>
      </c>
      <c r="L111" s="395" t="s">
        <v>26</v>
      </c>
      <c r="M111" s="150" t="s">
        <v>26</v>
      </c>
      <c r="N111" s="153">
        <f t="shared" ref="N111:U111" si="36">SUM(N102:N110)</f>
        <v>32528209.850000001</v>
      </c>
      <c r="O111" s="153">
        <f t="shared" si="36"/>
        <v>19892516.149999999</v>
      </c>
      <c r="P111" s="153">
        <f t="shared" si="36"/>
        <v>4023443.05</v>
      </c>
      <c r="Q111" s="153">
        <f t="shared" si="36"/>
        <v>0</v>
      </c>
      <c r="R111" s="645">
        <f t="shared" si="36"/>
        <v>8612250.6500000004</v>
      </c>
      <c r="S111" s="153">
        <f t="shared" si="36"/>
        <v>0</v>
      </c>
      <c r="T111" s="153">
        <f t="shared" si="36"/>
        <v>30857819.879999999</v>
      </c>
      <c r="U111" s="153">
        <f t="shared" si="36"/>
        <v>31357701.16</v>
      </c>
      <c r="W111" s="1" t="s">
        <v>561</v>
      </c>
    </row>
    <row r="112" spans="1:31" ht="73.2" customHeight="1" x14ac:dyDescent="0.25">
      <c r="A112" s="837"/>
      <c r="B112" s="829" t="s">
        <v>113</v>
      </c>
      <c r="C112" s="22" t="s">
        <v>23</v>
      </c>
      <c r="D112" s="19" t="s">
        <v>24</v>
      </c>
      <c r="E112" s="606">
        <v>51</v>
      </c>
      <c r="F112" s="683">
        <v>49</v>
      </c>
      <c r="G112" s="11">
        <v>48</v>
      </c>
      <c r="H112" s="444">
        <v>49</v>
      </c>
      <c r="I112" s="444">
        <v>52</v>
      </c>
      <c r="J112" s="384">
        <f>SUM(K112:M112)</f>
        <v>115704.37</v>
      </c>
      <c r="K112" s="14">
        <f>70145.11+2726.4</f>
        <v>72871.509999999995</v>
      </c>
      <c r="L112" s="14">
        <v>13638.79</v>
      </c>
      <c r="M112" s="478">
        <v>29194.07</v>
      </c>
      <c r="N112" s="150">
        <f>SUM(O112:R112)</f>
        <v>5553809.7599999998</v>
      </c>
      <c r="O112" s="395">
        <f>G112*K112</f>
        <v>3497832.48</v>
      </c>
      <c r="P112" s="14">
        <f>G112*L112</f>
        <v>654661.92000000004</v>
      </c>
      <c r="Q112" s="395"/>
      <c r="R112" s="150">
        <f>G112*M112</f>
        <v>1401315.36</v>
      </c>
      <c r="S112" s="149"/>
      <c r="T112" s="149">
        <f>W112</f>
        <v>5669514.1299999999</v>
      </c>
      <c r="U112" s="149">
        <f>T112</f>
        <v>5669514.1299999999</v>
      </c>
      <c r="W112" s="449">
        <f>SUM(X112:AA112)</f>
        <v>5669514.1299999999</v>
      </c>
      <c r="X112" s="395">
        <f>H112*K112</f>
        <v>3570703.99</v>
      </c>
      <c r="Y112" s="611">
        <f>H112*L112</f>
        <v>668300.71</v>
      </c>
      <c r="Z112" s="395">
        <f>H112*M112</f>
        <v>1430509.43</v>
      </c>
    </row>
    <row r="113" spans="1:31" ht="82.8" x14ac:dyDescent="0.25">
      <c r="A113" s="837"/>
      <c r="B113" s="830"/>
      <c r="C113" s="405" t="s">
        <v>25</v>
      </c>
      <c r="D113" s="19" t="s">
        <v>24</v>
      </c>
      <c r="E113" s="11" t="s">
        <v>26</v>
      </c>
      <c r="F113" s="11" t="s">
        <v>26</v>
      </c>
      <c r="G113" s="11" t="s">
        <v>26</v>
      </c>
      <c r="H113" s="415" t="s">
        <v>26</v>
      </c>
      <c r="I113" s="415" t="s">
        <v>26</v>
      </c>
      <c r="J113" s="426" t="s">
        <v>26</v>
      </c>
      <c r="K113" s="426" t="s">
        <v>26</v>
      </c>
      <c r="L113" s="426" t="s">
        <v>26</v>
      </c>
      <c r="M113" s="415" t="s">
        <v>26</v>
      </c>
      <c r="N113" s="427"/>
      <c r="O113" s="427"/>
      <c r="P113" s="426" t="s">
        <v>26</v>
      </c>
      <c r="Q113" s="426"/>
      <c r="R113" s="415" t="s">
        <v>26</v>
      </c>
      <c r="S113" s="10"/>
      <c r="T113" s="149"/>
      <c r="U113" s="149"/>
    </row>
    <row r="114" spans="1:31" x14ac:dyDescent="0.25">
      <c r="A114" s="837"/>
      <c r="B114" s="830"/>
      <c r="C114" s="405" t="s">
        <v>57</v>
      </c>
      <c r="D114" s="19" t="s">
        <v>24</v>
      </c>
      <c r="E114" s="11">
        <f>1-1</f>
        <v>0</v>
      </c>
      <c r="F114" s="11">
        <f>1-1</f>
        <v>0</v>
      </c>
      <c r="G114" s="612">
        <v>0</v>
      </c>
      <c r="H114" s="415">
        <f>1-1</f>
        <v>0</v>
      </c>
      <c r="I114" s="415">
        <f>1-1</f>
        <v>0</v>
      </c>
      <c r="J114" s="150">
        <f>K114</f>
        <v>90668.479999999996</v>
      </c>
      <c r="K114" s="14">
        <v>90668.479999999996</v>
      </c>
      <c r="L114" s="426" t="s">
        <v>26</v>
      </c>
      <c r="M114" s="415" t="s">
        <v>26</v>
      </c>
      <c r="N114" s="427">
        <f>O114</f>
        <v>0</v>
      </c>
      <c r="O114" s="427">
        <f>G114*K114</f>
        <v>0</v>
      </c>
      <c r="P114" s="426" t="s">
        <v>26</v>
      </c>
      <c r="Q114" s="426"/>
      <c r="R114" s="415" t="s">
        <v>26</v>
      </c>
      <c r="S114" s="10"/>
      <c r="T114" s="149">
        <f>H114*K114</f>
        <v>0</v>
      </c>
      <c r="U114" s="149">
        <f>I114*K114</f>
        <v>0</v>
      </c>
    </row>
    <row r="115" spans="1:31" x14ac:dyDescent="0.25">
      <c r="A115" s="837"/>
      <c r="B115" s="830"/>
      <c r="C115" s="405" t="s">
        <v>29</v>
      </c>
      <c r="D115" s="19" t="s">
        <v>24</v>
      </c>
      <c r="E115" s="411"/>
      <c r="F115" s="411"/>
      <c r="G115" s="10">
        <v>0</v>
      </c>
      <c r="H115" s="412">
        <v>0</v>
      </c>
      <c r="I115" s="412">
        <v>0</v>
      </c>
      <c r="J115" s="150">
        <f>K115</f>
        <v>122576.58</v>
      </c>
      <c r="K115" s="150">
        <v>122576.58</v>
      </c>
      <c r="L115" s="426" t="s">
        <v>26</v>
      </c>
      <c r="M115" s="415" t="s">
        <v>26</v>
      </c>
      <c r="N115" s="427">
        <f>O115</f>
        <v>0</v>
      </c>
      <c r="O115" s="427">
        <f>G115*K115</f>
        <v>0</v>
      </c>
      <c r="P115" s="426" t="s">
        <v>26</v>
      </c>
      <c r="Q115" s="426" t="s">
        <v>26</v>
      </c>
      <c r="R115" s="415" t="s">
        <v>26</v>
      </c>
      <c r="S115" s="10"/>
      <c r="T115" s="149">
        <f>H115*K115</f>
        <v>0</v>
      </c>
      <c r="U115" s="149">
        <f>I115*K115</f>
        <v>0</v>
      </c>
    </row>
    <row r="116" spans="1:31" x14ac:dyDescent="0.25">
      <c r="A116" s="837"/>
      <c r="B116" s="830"/>
      <c r="C116" s="405" t="s">
        <v>34</v>
      </c>
      <c r="D116" s="19" t="s">
        <v>24</v>
      </c>
      <c r="E116" s="411"/>
      <c r="F116" s="411"/>
      <c r="G116" s="11">
        <v>0</v>
      </c>
      <c r="H116" s="412"/>
      <c r="I116" s="412"/>
      <c r="J116" s="150">
        <f>K116</f>
        <v>18697.54</v>
      </c>
      <c r="K116" s="150">
        <v>18697.54</v>
      </c>
      <c r="L116" s="426" t="s">
        <v>26</v>
      </c>
      <c r="M116" s="478">
        <v>29194.07</v>
      </c>
      <c r="N116" s="427">
        <f>O116</f>
        <v>0</v>
      </c>
      <c r="O116" s="427">
        <f>G116*K116</f>
        <v>0</v>
      </c>
      <c r="P116" s="426" t="s">
        <v>26</v>
      </c>
      <c r="Q116" s="426"/>
      <c r="R116" s="415" t="s">
        <v>26</v>
      </c>
      <c r="S116" s="10"/>
      <c r="T116" s="149">
        <f>H116*K116</f>
        <v>0</v>
      </c>
      <c r="U116" s="149">
        <f>I116*K116</f>
        <v>0</v>
      </c>
    </row>
    <row r="117" spans="1:31" ht="82.95" customHeight="1" x14ac:dyDescent="0.25">
      <c r="A117" s="837"/>
      <c r="B117" s="831"/>
      <c r="C117" s="405" t="s">
        <v>35</v>
      </c>
      <c r="D117" s="19" t="s">
        <v>24</v>
      </c>
      <c r="E117" s="411"/>
      <c r="F117" s="411"/>
      <c r="G117" s="10">
        <v>0</v>
      </c>
      <c r="H117" s="412">
        <v>0</v>
      </c>
      <c r="I117" s="412">
        <v>0</v>
      </c>
      <c r="J117" s="150">
        <f>SUM(K117:M117)</f>
        <v>602690.06000000006</v>
      </c>
      <c r="K117" s="150">
        <f>557130.8+2726.4</f>
        <v>559857.19999999995</v>
      </c>
      <c r="L117" s="14">
        <v>13638.79</v>
      </c>
      <c r="M117" s="478">
        <v>29194.07</v>
      </c>
      <c r="N117" s="395">
        <f>SUM(O117:R117)</f>
        <v>0</v>
      </c>
      <c r="O117" s="427">
        <f>G117*K117</f>
        <v>0</v>
      </c>
      <c r="P117" s="427">
        <f>G117*L117</f>
        <v>0</v>
      </c>
      <c r="Q117" s="395"/>
      <c r="R117" s="150">
        <f>G117*M117</f>
        <v>0</v>
      </c>
      <c r="S117" s="396"/>
      <c r="T117" s="149">
        <f>W117</f>
        <v>0</v>
      </c>
      <c r="U117" s="149">
        <f>AB117</f>
        <v>0</v>
      </c>
      <c r="W117" s="449">
        <f>SUM(X117:AA117)</f>
        <v>0</v>
      </c>
      <c r="X117" s="395">
        <f>H117*K117</f>
        <v>0</v>
      </c>
      <c r="Y117" s="14">
        <f>H117*L117</f>
        <v>0</v>
      </c>
      <c r="Z117" s="395">
        <f>H117*M117</f>
        <v>0</v>
      </c>
      <c r="AB117" s="449">
        <f>SUM(AC117:AF117)</f>
        <v>0</v>
      </c>
      <c r="AC117" s="395">
        <f>I117*K117</f>
        <v>0</v>
      </c>
      <c r="AD117" s="14">
        <f>I117*L117</f>
        <v>0</v>
      </c>
      <c r="AE117" s="395">
        <f>I117*M117</f>
        <v>0</v>
      </c>
    </row>
    <row r="118" spans="1:31" ht="13.95" customHeight="1" x14ac:dyDescent="0.25">
      <c r="A118" s="837"/>
      <c r="B118" s="402"/>
      <c r="C118" s="419" t="s">
        <v>58</v>
      </c>
      <c r="D118" s="19" t="s">
        <v>59</v>
      </c>
      <c r="E118" s="606">
        <v>2</v>
      </c>
      <c r="F118" s="606">
        <v>2</v>
      </c>
      <c r="G118" s="11">
        <v>2</v>
      </c>
      <c r="H118" s="444">
        <v>2</v>
      </c>
      <c r="I118" s="444">
        <v>2</v>
      </c>
      <c r="J118" s="150">
        <f>SUM(K118:M118)</f>
        <v>234360</v>
      </c>
      <c r="K118" s="150">
        <f>10000*1.5*1.302*12</f>
        <v>234360</v>
      </c>
      <c r="L118" s="384"/>
      <c r="M118" s="14"/>
      <c r="N118" s="449">
        <f>SUM(O118:R118)</f>
        <v>468720</v>
      </c>
      <c r="O118" s="478">
        <f>G118*K118</f>
        <v>468720</v>
      </c>
      <c r="P118" s="427"/>
      <c r="Q118" s="395"/>
      <c r="R118" s="150"/>
      <c r="S118" s="396"/>
      <c r="T118" s="149">
        <f>H118*K118-468720</f>
        <v>0</v>
      </c>
      <c r="U118" s="149">
        <f>I118*K118-468720</f>
        <v>0</v>
      </c>
    </row>
    <row r="119" spans="1:31" ht="22.2" customHeight="1" x14ac:dyDescent="0.25">
      <c r="A119" s="837"/>
      <c r="B119" s="402"/>
      <c r="C119" s="420" t="s">
        <v>38</v>
      </c>
      <c r="D119" s="19"/>
      <c r="E119" s="606">
        <f>E112+E117</f>
        <v>51</v>
      </c>
      <c r="F119" s="692">
        <f>F112+F117</f>
        <v>49</v>
      </c>
      <c r="G119" s="685">
        <f>G112+G117</f>
        <v>48</v>
      </c>
      <c r="H119" s="757">
        <f>H112+H117</f>
        <v>49</v>
      </c>
      <c r="I119" s="757">
        <f>I112+I117</f>
        <v>52</v>
      </c>
      <c r="J119" s="395" t="s">
        <v>26</v>
      </c>
      <c r="K119" s="395" t="s">
        <v>26</v>
      </c>
      <c r="L119" s="395" t="s">
        <v>26</v>
      </c>
      <c r="M119" s="150" t="s">
        <v>26</v>
      </c>
      <c r="N119" s="153">
        <f>SUM(N112:N118)</f>
        <v>6022529.7599999998</v>
      </c>
      <c r="O119" s="153">
        <f t="shared" ref="O119:U119" si="37">SUM(O112:O118)</f>
        <v>3966552.48</v>
      </c>
      <c r="P119" s="153">
        <f t="shared" si="37"/>
        <v>654661.92000000004</v>
      </c>
      <c r="Q119" s="153">
        <f t="shared" si="37"/>
        <v>0</v>
      </c>
      <c r="R119" s="645">
        <f>SUM(R112:R118)</f>
        <v>1401315.36</v>
      </c>
      <c r="S119" s="153">
        <f t="shared" si="37"/>
        <v>0</v>
      </c>
      <c r="T119" s="153">
        <f t="shared" si="37"/>
        <v>5669514.1299999999</v>
      </c>
      <c r="U119" s="153">
        <f t="shared" si="37"/>
        <v>5669514.1299999999</v>
      </c>
      <c r="X119" s="25"/>
    </row>
    <row r="120" spans="1:31" ht="56.4" customHeight="1" x14ac:dyDescent="0.25">
      <c r="A120" s="837"/>
      <c r="B120" s="834" t="s">
        <v>115</v>
      </c>
      <c r="C120" s="832" t="s">
        <v>41</v>
      </c>
      <c r="D120" s="19" t="s">
        <v>24</v>
      </c>
      <c r="E120" s="693">
        <f>1554+194+235-202</f>
        <v>1781</v>
      </c>
      <c r="F120" s="683">
        <f>1554+194+33</f>
        <v>1781</v>
      </c>
      <c r="G120" s="785">
        <v>1781</v>
      </c>
      <c r="H120" s="444">
        <v>1781</v>
      </c>
      <c r="I120" s="444">
        <v>1781</v>
      </c>
      <c r="J120" s="150">
        <f>K120</f>
        <v>5125.76</v>
      </c>
      <c r="K120" s="150">
        <v>5125.76</v>
      </c>
      <c r="L120" s="150" t="s">
        <v>26</v>
      </c>
      <c r="M120" s="150" t="s">
        <v>26</v>
      </c>
      <c r="N120" s="395">
        <f>SUM(O120:R120)</f>
        <v>9128978.5600000005</v>
      </c>
      <c r="O120" s="395">
        <f>G120*K120</f>
        <v>9128978.5600000005</v>
      </c>
      <c r="P120" s="395" t="s">
        <v>26</v>
      </c>
      <c r="Q120" s="395"/>
      <c r="R120" s="150" t="s">
        <v>26</v>
      </c>
      <c r="S120" s="396"/>
      <c r="T120" s="149">
        <f>H120*K120</f>
        <v>9128978.5600000005</v>
      </c>
      <c r="U120" s="149">
        <f>I120*K120</f>
        <v>9128978.5600000005</v>
      </c>
    </row>
    <row r="121" spans="1:31" ht="43.2" customHeight="1" x14ac:dyDescent="0.25">
      <c r="A121" s="837"/>
      <c r="B121" s="835"/>
      <c r="C121" s="833"/>
      <c r="D121" s="433" t="s">
        <v>232</v>
      </c>
      <c r="E121" s="697">
        <f>95983-1214</f>
        <v>94769</v>
      </c>
      <c r="F121" s="698">
        <v>95983</v>
      </c>
      <c r="G121" s="696">
        <v>98965</v>
      </c>
      <c r="H121" s="701">
        <v>98965</v>
      </c>
      <c r="I121" s="701">
        <v>98965</v>
      </c>
      <c r="J121" s="394">
        <f>K121</f>
        <v>92.24</v>
      </c>
      <c r="K121" s="394">
        <f>N121/G121</f>
        <v>92.24</v>
      </c>
      <c r="L121" s="394" t="s">
        <v>26</v>
      </c>
      <c r="M121" s="394" t="s">
        <v>26</v>
      </c>
      <c r="N121" s="393">
        <f>N120</f>
        <v>9128978.5600000005</v>
      </c>
      <c r="O121" s="393">
        <f>O120</f>
        <v>9128978.5600000005</v>
      </c>
      <c r="P121" s="393" t="s">
        <v>26</v>
      </c>
      <c r="Q121" s="393"/>
      <c r="R121" s="394" t="s">
        <v>26</v>
      </c>
      <c r="S121" s="393"/>
      <c r="T121" s="394">
        <f>T120/G121*H121</f>
        <v>9128978.5600000005</v>
      </c>
      <c r="U121" s="394">
        <f>U120/G121*I121</f>
        <v>9128978.5600000005</v>
      </c>
    </row>
    <row r="122" spans="1:31" ht="20.399999999999999" customHeight="1" x14ac:dyDescent="0.25">
      <c r="A122" s="837"/>
      <c r="B122" s="390"/>
      <c r="C122" s="420" t="s">
        <v>38</v>
      </c>
      <c r="D122" s="409"/>
      <c r="E122" s="606">
        <f>SUM(E120:E120)</f>
        <v>1781</v>
      </c>
      <c r="F122" s="606">
        <f>SUM(F120:F120)</f>
        <v>1781</v>
      </c>
      <c r="G122" s="606">
        <f>SUM(G120:G120)</f>
        <v>1781</v>
      </c>
      <c r="H122" s="444">
        <f>SUM(H120:H120)</f>
        <v>1781</v>
      </c>
      <c r="I122" s="444">
        <f>SUM(I120:I120)</f>
        <v>1781</v>
      </c>
      <c r="J122" s="395" t="s">
        <v>26</v>
      </c>
      <c r="K122" s="395" t="s">
        <v>26</v>
      </c>
      <c r="L122" s="395" t="s">
        <v>26</v>
      </c>
      <c r="M122" s="150">
        <f t="shared" ref="M122:R122" si="38">SUM(M120:M120)</f>
        <v>0</v>
      </c>
      <c r="N122" s="153">
        <f t="shared" si="38"/>
        <v>9128978.5600000005</v>
      </c>
      <c r="O122" s="395">
        <f>SUM(O120:O120)</f>
        <v>9128978.5600000005</v>
      </c>
      <c r="P122" s="395">
        <f t="shared" si="38"/>
        <v>0</v>
      </c>
      <c r="Q122" s="395"/>
      <c r="R122" s="150">
        <f t="shared" si="38"/>
        <v>0</v>
      </c>
      <c r="S122" s="396"/>
      <c r="T122" s="149">
        <f>T120</f>
        <v>9128978.5600000005</v>
      </c>
      <c r="U122" s="149">
        <f>U120</f>
        <v>9128978.5600000005</v>
      </c>
    </row>
    <row r="123" spans="1:31" ht="27.6" x14ac:dyDescent="0.25">
      <c r="A123" s="837"/>
      <c r="B123" s="408" t="s">
        <v>45</v>
      </c>
      <c r="C123" s="27" t="s">
        <v>44</v>
      </c>
      <c r="D123" s="410" t="s">
        <v>46</v>
      </c>
      <c r="E123" s="606">
        <f>8-8</f>
        <v>0</v>
      </c>
      <c r="F123" s="606">
        <f>8-8</f>
        <v>0</v>
      </c>
      <c r="G123" s="11">
        <v>0</v>
      </c>
      <c r="H123" s="444">
        <f>8-8</f>
        <v>0</v>
      </c>
      <c r="I123" s="444">
        <f>8-8</f>
        <v>0</v>
      </c>
      <c r="J123" s="395"/>
      <c r="K123" s="395"/>
      <c r="L123" s="150">
        <v>263700.28000000003</v>
      </c>
      <c r="M123" s="150"/>
      <c r="N123" s="395">
        <f>P123</f>
        <v>0</v>
      </c>
      <c r="O123" s="395"/>
      <c r="P123" s="395">
        <f>G123*L123</f>
        <v>0</v>
      </c>
      <c r="Q123" s="395"/>
      <c r="R123" s="150"/>
      <c r="S123" s="396"/>
      <c r="T123" s="149">
        <f>H123*L123</f>
        <v>0</v>
      </c>
      <c r="U123" s="149">
        <f>I123*L123</f>
        <v>0</v>
      </c>
    </row>
    <row r="124" spans="1:31" ht="27.6" x14ac:dyDescent="0.25">
      <c r="A124" s="837"/>
      <c r="B124" s="408" t="s">
        <v>45</v>
      </c>
      <c r="C124" s="27" t="s">
        <v>44</v>
      </c>
      <c r="D124" s="410" t="s">
        <v>46</v>
      </c>
      <c r="E124" s="606">
        <f>1+9</f>
        <v>10</v>
      </c>
      <c r="F124" s="606">
        <f>1+9</f>
        <v>10</v>
      </c>
      <c r="G124" s="11">
        <v>10</v>
      </c>
      <c r="H124" s="444">
        <f>1+9</f>
        <v>10</v>
      </c>
      <c r="I124" s="444">
        <f>1+9</f>
        <v>10</v>
      </c>
      <c r="J124" s="395"/>
      <c r="K124" s="395"/>
      <c r="L124" s="150">
        <v>316440.09999999998</v>
      </c>
      <c r="M124" s="150"/>
      <c r="N124" s="395">
        <f>P124</f>
        <v>3164401</v>
      </c>
      <c r="O124" s="395"/>
      <c r="P124" s="395">
        <f>G124*L124</f>
        <v>3164401</v>
      </c>
      <c r="Q124" s="395"/>
      <c r="R124" s="150"/>
      <c r="S124" s="396"/>
      <c r="T124" s="149">
        <f>H124*L124</f>
        <v>3164401</v>
      </c>
      <c r="U124" s="149">
        <f>I124*L124</f>
        <v>3164401</v>
      </c>
    </row>
    <row r="125" spans="1:31" hidden="1" x14ac:dyDescent="0.25">
      <c r="A125" s="837"/>
      <c r="B125" s="407" t="s">
        <v>53</v>
      </c>
      <c r="C125" s="27" t="s">
        <v>44</v>
      </c>
      <c r="D125" s="19" t="s">
        <v>24</v>
      </c>
      <c r="E125" s="606">
        <v>1</v>
      </c>
      <c r="F125" s="606">
        <v>1</v>
      </c>
      <c r="G125" s="606">
        <v>1</v>
      </c>
      <c r="H125" s="444">
        <v>1</v>
      </c>
      <c r="I125" s="444">
        <v>1</v>
      </c>
      <c r="J125" s="395"/>
      <c r="K125" s="395"/>
      <c r="L125" s="395"/>
      <c r="M125" s="150"/>
      <c r="N125" s="395">
        <f>Q125</f>
        <v>0</v>
      </c>
      <c r="O125" s="395"/>
      <c r="P125" s="395"/>
      <c r="Q125" s="395"/>
      <c r="R125" s="150"/>
      <c r="S125" s="396"/>
      <c r="T125" s="149"/>
      <c r="U125" s="149">
        <f t="shared" ref="U125:U128" si="39">T125</f>
        <v>0</v>
      </c>
      <c r="V125" s="25"/>
      <c r="W125" s="25"/>
    </row>
    <row r="126" spans="1:31" ht="13.95" hidden="1" customHeight="1" x14ac:dyDescent="0.25">
      <c r="A126" s="837"/>
      <c r="B126" s="407" t="s">
        <v>55</v>
      </c>
      <c r="C126" s="27" t="s">
        <v>54</v>
      </c>
      <c r="D126" s="19"/>
      <c r="E126" s="606"/>
      <c r="F126" s="606"/>
      <c r="G126" s="606"/>
      <c r="H126" s="444"/>
      <c r="I126" s="444"/>
      <c r="J126" s="395"/>
      <c r="K126" s="395"/>
      <c r="L126" s="395"/>
      <c r="M126" s="150"/>
      <c r="N126" s="395">
        <f>O126+P126+Q126+R126+S126</f>
        <v>0</v>
      </c>
      <c r="O126" s="395"/>
      <c r="P126" s="395"/>
      <c r="Q126" s="395"/>
      <c r="R126" s="150"/>
      <c r="S126" s="396"/>
      <c r="T126" s="149"/>
      <c r="U126" s="149"/>
    </row>
    <row r="127" spans="1:31" ht="19.2" customHeight="1" x14ac:dyDescent="0.25">
      <c r="A127" s="837"/>
      <c r="B127" s="407" t="s">
        <v>47</v>
      </c>
      <c r="C127" s="27" t="s">
        <v>44</v>
      </c>
      <c r="D127" s="19"/>
      <c r="E127" s="606">
        <v>21</v>
      </c>
      <c r="F127" s="606">
        <v>21</v>
      </c>
      <c r="G127" s="606">
        <v>21</v>
      </c>
      <c r="H127" s="444">
        <v>21</v>
      </c>
      <c r="I127" s="444">
        <v>21</v>
      </c>
      <c r="J127" s="395"/>
      <c r="K127" s="395"/>
      <c r="L127" s="395"/>
      <c r="M127" s="150"/>
      <c r="N127" s="449">
        <f>SUM(O127:R127)</f>
        <v>4921560</v>
      </c>
      <c r="O127" s="150">
        <f>O118+O110+O100</f>
        <v>4921560</v>
      </c>
      <c r="P127" s="395"/>
      <c r="Q127" s="395"/>
      <c r="R127" s="150"/>
      <c r="S127" s="396"/>
      <c r="T127" s="149">
        <f>T118+T110+T100</f>
        <v>0</v>
      </c>
      <c r="U127" s="149">
        <f>U118+U110+U100</f>
        <v>0</v>
      </c>
    </row>
    <row r="128" spans="1:31" ht="13.95" hidden="1" customHeight="1" x14ac:dyDescent="0.25">
      <c r="A128" s="837"/>
      <c r="B128" s="407" t="s">
        <v>48</v>
      </c>
      <c r="C128" s="28" t="s">
        <v>44</v>
      </c>
      <c r="D128" s="19"/>
      <c r="E128" s="606"/>
      <c r="F128" s="606"/>
      <c r="G128" s="606"/>
      <c r="H128" s="444"/>
      <c r="I128" s="444"/>
      <c r="J128" s="395"/>
      <c r="K128" s="395"/>
      <c r="L128" s="395"/>
      <c r="M128" s="150"/>
      <c r="N128" s="395">
        <f>O128+P128+Q128+R128+S128</f>
        <v>0</v>
      </c>
      <c r="O128" s="395"/>
      <c r="P128" s="395"/>
      <c r="Q128" s="395"/>
      <c r="R128" s="150"/>
      <c r="S128" s="396"/>
      <c r="T128" s="149">
        <f>O128</f>
        <v>0</v>
      </c>
      <c r="U128" s="149">
        <f t="shared" si="39"/>
        <v>0</v>
      </c>
    </row>
    <row r="129" spans="1:31" ht="13.95" hidden="1" customHeight="1" x14ac:dyDescent="0.25">
      <c r="A129" s="837"/>
      <c r="B129" s="407" t="s">
        <v>49</v>
      </c>
      <c r="C129" s="28" t="s">
        <v>44</v>
      </c>
      <c r="D129" s="19"/>
      <c r="E129" s="606"/>
      <c r="F129" s="606"/>
      <c r="G129" s="606"/>
      <c r="H129" s="444"/>
      <c r="I129" s="444"/>
      <c r="J129" s="395"/>
      <c r="K129" s="395"/>
      <c r="L129" s="395"/>
      <c r="M129" s="150"/>
      <c r="N129" s="395">
        <f>P129</f>
        <v>0</v>
      </c>
      <c r="O129" s="395"/>
      <c r="P129" s="395"/>
      <c r="Q129" s="395"/>
      <c r="R129" s="150"/>
      <c r="S129" s="396"/>
      <c r="T129" s="149"/>
      <c r="U129" s="149">
        <f>T129</f>
        <v>0</v>
      </c>
    </row>
    <row r="130" spans="1:31" ht="23.4" customHeight="1" x14ac:dyDescent="0.25">
      <c r="A130" s="837"/>
      <c r="B130" s="423" t="s">
        <v>50</v>
      </c>
      <c r="C130" s="409"/>
      <c r="D130" s="409"/>
      <c r="E130" s="607">
        <f>E101+E111+E119</f>
        <v>573</v>
      </c>
      <c r="F130" s="700">
        <f>F101+F111+F119</f>
        <v>555</v>
      </c>
      <c r="G130" s="685">
        <f>G101+G111+G119</f>
        <v>554</v>
      </c>
      <c r="H130" s="757">
        <f>H101+H111+H119</f>
        <v>557</v>
      </c>
      <c r="I130" s="757">
        <f>I101+I111+I119</f>
        <v>560</v>
      </c>
      <c r="J130" s="413"/>
      <c r="K130" s="413"/>
      <c r="L130" s="413"/>
      <c r="M130" s="153"/>
      <c r="N130" s="413">
        <f>SUM(O130:S130)</f>
        <v>76064358.640000001</v>
      </c>
      <c r="O130" s="413">
        <f>O101+O111+O119+O122+O128</f>
        <v>49170553.200000003</v>
      </c>
      <c r="P130" s="153">
        <f>P101+P111+P119+P122+P123+P124+P125+P129</f>
        <v>10720290.66</v>
      </c>
      <c r="Q130" s="413">
        <f>Q101+Q111+Q119+Q122+Q123+Q124+Q125</f>
        <v>0</v>
      </c>
      <c r="R130" s="645">
        <f>R101+R111+R119+R122+R123+R124+R125+R126</f>
        <v>16173514.779999999</v>
      </c>
      <c r="S130" s="422">
        <f>S101+S111+S119+S122+S123+S124+S125+S126</f>
        <v>0</v>
      </c>
      <c r="T130" s="422">
        <f>T101+T111+T119+T122+T123+T124+T125+T126+T128+T129</f>
        <v>71593288.439999998</v>
      </c>
      <c r="U130" s="422">
        <f>U101+U111+U119+U122+U123+U124+U125+U126+U128+U129</f>
        <v>71767481.599999994</v>
      </c>
      <c r="V130" s="25"/>
      <c r="W130" s="1" t="s">
        <v>561</v>
      </c>
      <c r="AA130" s="25"/>
      <c r="AB130" s="25"/>
    </row>
    <row r="131" spans="1:31" ht="75" customHeight="1" x14ac:dyDescent="0.25">
      <c r="A131" s="826" t="s">
        <v>60</v>
      </c>
      <c r="B131" s="829" t="s">
        <v>112</v>
      </c>
      <c r="C131" s="22" t="s">
        <v>23</v>
      </c>
      <c r="D131" s="19" t="s">
        <v>24</v>
      </c>
      <c r="E131" s="415">
        <v>206</v>
      </c>
      <c r="F131" s="415">
        <f>206-15</f>
        <v>191</v>
      </c>
      <c r="G131" s="415">
        <f>153+40</f>
        <v>193</v>
      </c>
      <c r="H131" s="415">
        <f>153+40</f>
        <v>193</v>
      </c>
      <c r="I131" s="415">
        <f>153+40</f>
        <v>193</v>
      </c>
      <c r="J131" s="384">
        <f>SUM(K131:M131)</f>
        <v>82051.02</v>
      </c>
      <c r="K131" s="14">
        <f>36390.31+2198.86</f>
        <v>38589.17</v>
      </c>
      <c r="L131" s="14">
        <v>14267.78</v>
      </c>
      <c r="M131" s="478">
        <v>29194.07</v>
      </c>
      <c r="N131" s="478">
        <f>SUM(O131:R131)</f>
        <v>15835846.859999999</v>
      </c>
      <c r="O131" s="427">
        <f>G131*K131</f>
        <v>7447709.8099999996</v>
      </c>
      <c r="P131" s="427">
        <f>G131*L131</f>
        <v>2753681.54</v>
      </c>
      <c r="Q131" s="427"/>
      <c r="R131" s="150">
        <f>G131*M131</f>
        <v>5634455.5099999998</v>
      </c>
      <c r="S131" s="149"/>
      <c r="T131" s="149">
        <f>W131</f>
        <v>15835846.859999999</v>
      </c>
      <c r="U131" s="149">
        <f>AB131</f>
        <v>15835846.859999999</v>
      </c>
      <c r="W131" s="449">
        <f>SUM(X131:AA131)</f>
        <v>15835846.859999999</v>
      </c>
      <c r="X131" s="395">
        <f>H131*K131</f>
        <v>7447709.8099999996</v>
      </c>
      <c r="Y131" s="492">
        <f>H131*L131</f>
        <v>2753681.54</v>
      </c>
      <c r="Z131" s="395">
        <f>H131*M131</f>
        <v>5634455.5099999998</v>
      </c>
      <c r="AB131" s="449">
        <f>SUM(AC131:AF131)</f>
        <v>15835846.859999999</v>
      </c>
      <c r="AC131" s="395">
        <f>I131*K131</f>
        <v>7447709.8099999996</v>
      </c>
      <c r="AD131" s="777">
        <f>I131*L131</f>
        <v>2753681.54</v>
      </c>
      <c r="AE131" s="395">
        <f>I131*M131</f>
        <v>5634455.5099999998</v>
      </c>
    </row>
    <row r="132" spans="1:31" ht="89.4" customHeight="1" x14ac:dyDescent="0.25">
      <c r="A132" s="827"/>
      <c r="B132" s="830"/>
      <c r="C132" s="22" t="s">
        <v>25</v>
      </c>
      <c r="D132" s="19" t="s">
        <v>24</v>
      </c>
      <c r="E132" s="11" t="s">
        <v>26</v>
      </c>
      <c r="F132" s="11" t="s">
        <v>26</v>
      </c>
      <c r="G132" s="11" t="s">
        <v>26</v>
      </c>
      <c r="H132" s="415" t="s">
        <v>26</v>
      </c>
      <c r="I132" s="415" t="s">
        <v>26</v>
      </c>
      <c r="J132" s="426" t="s">
        <v>26</v>
      </c>
      <c r="K132" s="426" t="s">
        <v>26</v>
      </c>
      <c r="L132" s="426" t="s">
        <v>26</v>
      </c>
      <c r="M132" s="415" t="s">
        <v>26</v>
      </c>
      <c r="N132" s="427"/>
      <c r="O132" s="427"/>
      <c r="P132" s="426" t="s">
        <v>26</v>
      </c>
      <c r="Q132" s="426"/>
      <c r="R132" s="415" t="s">
        <v>26</v>
      </c>
      <c r="S132" s="10"/>
      <c r="T132" s="149"/>
      <c r="U132" s="149"/>
    </row>
    <row r="133" spans="1:31" x14ac:dyDescent="0.25">
      <c r="A133" s="827"/>
      <c r="B133" s="830"/>
      <c r="C133" s="385" t="s">
        <v>27</v>
      </c>
      <c r="D133" s="19" t="s">
        <v>24</v>
      </c>
      <c r="E133" s="11"/>
      <c r="F133" s="11">
        <v>1</v>
      </c>
      <c r="G133" s="11">
        <v>1</v>
      </c>
      <c r="H133" s="415">
        <v>1</v>
      </c>
      <c r="I133" s="415">
        <v>1</v>
      </c>
      <c r="J133" s="150">
        <f t="shared" ref="J133:J140" si="40">K133</f>
        <v>148440.13</v>
      </c>
      <c r="K133" s="14">
        <v>148440.13</v>
      </c>
      <c r="L133" s="426" t="s">
        <v>26</v>
      </c>
      <c r="M133" s="415" t="s">
        <v>26</v>
      </c>
      <c r="N133" s="427">
        <f t="shared" ref="N133:N140" si="41">O133</f>
        <v>148440.13</v>
      </c>
      <c r="O133" s="427">
        <f>G133*K133</f>
        <v>148440.13</v>
      </c>
      <c r="P133" s="426" t="s">
        <v>26</v>
      </c>
      <c r="Q133" s="426"/>
      <c r="R133" s="415" t="s">
        <v>26</v>
      </c>
      <c r="S133" s="10"/>
      <c r="T133" s="149">
        <f t="shared" ref="T133:T140" si="42">H133*K133</f>
        <v>148440.13</v>
      </c>
      <c r="U133" s="149">
        <f t="shared" ref="U133:U140" si="43">I133*K133</f>
        <v>148440.13</v>
      </c>
    </row>
    <row r="134" spans="1:31" x14ac:dyDescent="0.25">
      <c r="A134" s="827"/>
      <c r="B134" s="830"/>
      <c r="C134" s="385" t="s">
        <v>28</v>
      </c>
      <c r="D134" s="19" t="s">
        <v>24</v>
      </c>
      <c r="E134" s="695">
        <f>19-2</f>
        <v>17</v>
      </c>
      <c r="F134" s="11">
        <f>19-2</f>
        <v>17</v>
      </c>
      <c r="G134" s="11">
        <v>17</v>
      </c>
      <c r="H134" s="415">
        <f>17</f>
        <v>17</v>
      </c>
      <c r="I134" s="415">
        <f>17</f>
        <v>17</v>
      </c>
      <c r="J134" s="150">
        <f t="shared" si="40"/>
        <v>164394.18</v>
      </c>
      <c r="K134" s="14">
        <v>164394.18</v>
      </c>
      <c r="L134" s="426" t="s">
        <v>26</v>
      </c>
      <c r="M134" s="415" t="s">
        <v>26</v>
      </c>
      <c r="N134" s="427">
        <f t="shared" si="41"/>
        <v>2794701.06</v>
      </c>
      <c r="O134" s="427">
        <f t="shared" ref="O134:O140" si="44">G134*K134</f>
        <v>2794701.06</v>
      </c>
      <c r="P134" s="426" t="s">
        <v>26</v>
      </c>
      <c r="Q134" s="426"/>
      <c r="R134" s="415" t="s">
        <v>26</v>
      </c>
      <c r="S134" s="10"/>
      <c r="T134" s="149">
        <f t="shared" si="42"/>
        <v>2794701.06</v>
      </c>
      <c r="U134" s="149">
        <f t="shared" si="43"/>
        <v>2794701.06</v>
      </c>
    </row>
    <row r="135" spans="1:31" x14ac:dyDescent="0.25">
      <c r="A135" s="827"/>
      <c r="B135" s="830"/>
      <c r="C135" s="385" t="s">
        <v>29</v>
      </c>
      <c r="D135" s="19" t="s">
        <v>24</v>
      </c>
      <c r="E135" s="695">
        <f>1+1</f>
        <v>2</v>
      </c>
      <c r="F135" s="11">
        <f>1+1</f>
        <v>2</v>
      </c>
      <c r="G135" s="11">
        <v>2</v>
      </c>
      <c r="H135" s="415">
        <f>1+1</f>
        <v>2</v>
      </c>
      <c r="I135" s="415">
        <v>2</v>
      </c>
      <c r="J135" s="150">
        <f t="shared" si="40"/>
        <v>196302.28</v>
      </c>
      <c r="K135" s="14">
        <v>196302.28</v>
      </c>
      <c r="L135" s="426" t="s">
        <v>26</v>
      </c>
      <c r="M135" s="415" t="s">
        <v>26</v>
      </c>
      <c r="N135" s="427">
        <f t="shared" si="41"/>
        <v>392604.56</v>
      </c>
      <c r="O135" s="427">
        <f t="shared" si="44"/>
        <v>392604.56</v>
      </c>
      <c r="P135" s="426" t="s">
        <v>26</v>
      </c>
      <c r="Q135" s="426"/>
      <c r="R135" s="415" t="s">
        <v>26</v>
      </c>
      <c r="S135" s="10"/>
      <c r="T135" s="149">
        <f t="shared" si="42"/>
        <v>392604.56</v>
      </c>
      <c r="U135" s="149">
        <f t="shared" si="43"/>
        <v>392604.56</v>
      </c>
    </row>
    <row r="136" spans="1:31" x14ac:dyDescent="0.25">
      <c r="A136" s="827"/>
      <c r="B136" s="830"/>
      <c r="C136" s="385" t="s">
        <v>30</v>
      </c>
      <c r="D136" s="19" t="s">
        <v>24</v>
      </c>
      <c r="E136" s="11">
        <v>27</v>
      </c>
      <c r="F136" s="11">
        <f>27-1</f>
        <v>26</v>
      </c>
      <c r="G136" s="11">
        <f>26-9</f>
        <v>17</v>
      </c>
      <c r="H136" s="415">
        <f>26-9</f>
        <v>17</v>
      </c>
      <c r="I136" s="415">
        <f>26-9</f>
        <v>17</v>
      </c>
      <c r="J136" s="150">
        <f t="shared" si="40"/>
        <v>162574.21</v>
      </c>
      <c r="K136" s="150">
        <v>162574.21</v>
      </c>
      <c r="L136" s="426" t="s">
        <v>26</v>
      </c>
      <c r="M136" s="415" t="s">
        <v>26</v>
      </c>
      <c r="N136" s="427">
        <f t="shared" si="41"/>
        <v>2763761.57</v>
      </c>
      <c r="O136" s="427">
        <f t="shared" si="44"/>
        <v>2763761.57</v>
      </c>
      <c r="P136" s="426" t="s">
        <v>26</v>
      </c>
      <c r="Q136" s="426"/>
      <c r="R136" s="415" t="s">
        <v>26</v>
      </c>
      <c r="S136" s="10"/>
      <c r="T136" s="149">
        <f t="shared" si="42"/>
        <v>2763761.57</v>
      </c>
      <c r="U136" s="149">
        <f t="shared" si="43"/>
        <v>2763761.57</v>
      </c>
    </row>
    <row r="137" spans="1:31" x14ac:dyDescent="0.25">
      <c r="A137" s="827"/>
      <c r="B137" s="830"/>
      <c r="C137" s="385" t="s">
        <v>31</v>
      </c>
      <c r="D137" s="19" t="s">
        <v>24</v>
      </c>
      <c r="E137" s="11">
        <v>1</v>
      </c>
      <c r="F137" s="11">
        <f>1-1</f>
        <v>0</v>
      </c>
      <c r="G137" s="11">
        <v>0</v>
      </c>
      <c r="H137" s="415">
        <f>1-1</f>
        <v>0</v>
      </c>
      <c r="I137" s="415">
        <v>0</v>
      </c>
      <c r="J137" s="150">
        <f t="shared" si="40"/>
        <v>180348.22</v>
      </c>
      <c r="K137" s="150">
        <v>180348.22</v>
      </c>
      <c r="L137" s="426" t="s">
        <v>26</v>
      </c>
      <c r="M137" s="415" t="s">
        <v>26</v>
      </c>
      <c r="N137" s="427">
        <f t="shared" si="41"/>
        <v>0</v>
      </c>
      <c r="O137" s="427">
        <f t="shared" si="44"/>
        <v>0</v>
      </c>
      <c r="P137" s="426" t="s">
        <v>26</v>
      </c>
      <c r="Q137" s="426"/>
      <c r="R137" s="415" t="s">
        <v>26</v>
      </c>
      <c r="S137" s="10"/>
      <c r="T137" s="149">
        <f t="shared" si="42"/>
        <v>0</v>
      </c>
      <c r="U137" s="149">
        <f t="shared" si="43"/>
        <v>0</v>
      </c>
    </row>
    <row r="138" spans="1:31" x14ac:dyDescent="0.25">
      <c r="A138" s="827"/>
      <c r="B138" s="830"/>
      <c r="C138" s="706" t="s">
        <v>32</v>
      </c>
      <c r="D138" s="19" t="s">
        <v>24</v>
      </c>
      <c r="E138" s="11">
        <v>0</v>
      </c>
      <c r="F138" s="11">
        <f>1+1</f>
        <v>2</v>
      </c>
      <c r="G138" s="11">
        <v>2</v>
      </c>
      <c r="H138" s="415">
        <f>1+1</f>
        <v>2</v>
      </c>
      <c r="I138" s="415">
        <v>2</v>
      </c>
      <c r="J138" s="150">
        <f t="shared" ref="J138" si="45">K138</f>
        <v>204279.3</v>
      </c>
      <c r="K138" s="150">
        <v>204279.3</v>
      </c>
      <c r="L138" s="703" t="s">
        <v>26</v>
      </c>
      <c r="M138" s="415" t="s">
        <v>26</v>
      </c>
      <c r="N138" s="704">
        <f t="shared" ref="N138" si="46">O138</f>
        <v>408558.6</v>
      </c>
      <c r="O138" s="704">
        <f t="shared" ref="O138" si="47">G138*K138</f>
        <v>408558.6</v>
      </c>
      <c r="P138" s="703" t="s">
        <v>26</v>
      </c>
      <c r="Q138" s="703"/>
      <c r="R138" s="415" t="s">
        <v>26</v>
      </c>
      <c r="S138" s="10"/>
      <c r="T138" s="149">
        <f t="shared" ref="T138" si="48">H138*K138</f>
        <v>408558.6</v>
      </c>
      <c r="U138" s="149">
        <f t="shared" ref="U138" si="49">I138*K138</f>
        <v>408558.6</v>
      </c>
    </row>
    <row r="139" spans="1:31" x14ac:dyDescent="0.25">
      <c r="A139" s="827"/>
      <c r="B139" s="830"/>
      <c r="C139" s="385" t="s">
        <v>52</v>
      </c>
      <c r="D139" s="19" t="s">
        <v>24</v>
      </c>
      <c r="E139" s="11">
        <v>1</v>
      </c>
      <c r="F139" s="11">
        <v>1</v>
      </c>
      <c r="G139" s="11">
        <v>1</v>
      </c>
      <c r="H139" s="415">
        <v>1</v>
      </c>
      <c r="I139" s="415">
        <v>1</v>
      </c>
      <c r="J139" s="150">
        <f t="shared" si="40"/>
        <v>343079.52</v>
      </c>
      <c r="K139" s="150">
        <v>343079.52</v>
      </c>
      <c r="L139" s="426" t="s">
        <v>26</v>
      </c>
      <c r="M139" s="415" t="s">
        <v>26</v>
      </c>
      <c r="N139" s="427">
        <f t="shared" si="41"/>
        <v>343079.52</v>
      </c>
      <c r="O139" s="427">
        <f t="shared" si="44"/>
        <v>343079.52</v>
      </c>
      <c r="P139" s="426" t="s">
        <v>26</v>
      </c>
      <c r="Q139" s="426"/>
      <c r="R139" s="415" t="s">
        <v>26</v>
      </c>
      <c r="S139" s="10"/>
      <c r="T139" s="149">
        <f t="shared" si="42"/>
        <v>343079.52</v>
      </c>
      <c r="U139" s="149">
        <f t="shared" si="43"/>
        <v>343079.52</v>
      </c>
    </row>
    <row r="140" spans="1:31" x14ac:dyDescent="0.25">
      <c r="A140" s="827"/>
      <c r="B140" s="830"/>
      <c r="C140" s="385" t="s">
        <v>34</v>
      </c>
      <c r="D140" s="19" t="s">
        <v>24</v>
      </c>
      <c r="E140" s="11"/>
      <c r="F140" s="11"/>
      <c r="G140" s="11">
        <v>0</v>
      </c>
      <c r="H140" s="415"/>
      <c r="I140" s="415"/>
      <c r="J140" s="150">
        <f t="shared" si="40"/>
        <v>146900.85999999999</v>
      </c>
      <c r="K140" s="150">
        <v>146900.85999999999</v>
      </c>
      <c r="L140" s="426" t="s">
        <v>26</v>
      </c>
      <c r="M140" s="415" t="s">
        <v>26</v>
      </c>
      <c r="N140" s="427">
        <f t="shared" si="41"/>
        <v>0</v>
      </c>
      <c r="O140" s="427">
        <f t="shared" si="44"/>
        <v>0</v>
      </c>
      <c r="P140" s="426" t="s">
        <v>26</v>
      </c>
      <c r="Q140" s="426"/>
      <c r="R140" s="415" t="s">
        <v>26</v>
      </c>
      <c r="S140" s="10"/>
      <c r="T140" s="149">
        <f t="shared" si="42"/>
        <v>0</v>
      </c>
      <c r="U140" s="149">
        <f t="shared" si="43"/>
        <v>0</v>
      </c>
      <c r="W140" s="1" t="s">
        <v>561</v>
      </c>
    </row>
    <row r="141" spans="1:31" ht="87" customHeight="1" x14ac:dyDescent="0.25">
      <c r="A141" s="827"/>
      <c r="B141" s="830"/>
      <c r="C141" s="405" t="s">
        <v>35</v>
      </c>
      <c r="D141" s="19" t="s">
        <v>24</v>
      </c>
      <c r="E141" s="11">
        <v>5</v>
      </c>
      <c r="F141" s="11">
        <f>5+1</f>
        <v>6</v>
      </c>
      <c r="G141" s="11">
        <f>6</f>
        <v>6</v>
      </c>
      <c r="H141" s="415">
        <f>6</f>
        <v>6</v>
      </c>
      <c r="I141" s="415">
        <f>6</f>
        <v>6</v>
      </c>
      <c r="J141" s="150">
        <f>SUM(K141:M141)</f>
        <v>490777.28</v>
      </c>
      <c r="K141" s="150">
        <f>445116.57+2198.86</f>
        <v>447315.43</v>
      </c>
      <c r="L141" s="14">
        <v>14267.78</v>
      </c>
      <c r="M141" s="478">
        <v>29194.07</v>
      </c>
      <c r="N141" s="478">
        <f>SUM(O141:R141)</f>
        <v>2944663.68</v>
      </c>
      <c r="O141" s="427">
        <f>G141*K141</f>
        <v>2683892.58</v>
      </c>
      <c r="P141" s="427">
        <f>G141*L141</f>
        <v>85606.68</v>
      </c>
      <c r="Q141" s="427"/>
      <c r="R141" s="150">
        <f>G141*M141</f>
        <v>175164.42</v>
      </c>
      <c r="S141" s="149"/>
      <c r="T141" s="149">
        <f>W141</f>
        <v>2944663.68</v>
      </c>
      <c r="U141" s="149">
        <f>AB141</f>
        <v>2944663.68</v>
      </c>
      <c r="W141" s="449">
        <f>SUM(X141:AA141)</f>
        <v>2944663.68</v>
      </c>
      <c r="X141" s="395">
        <f>H141*K141</f>
        <v>2683892.58</v>
      </c>
      <c r="Y141" s="611">
        <f>H141*L141</f>
        <v>85606.68</v>
      </c>
      <c r="Z141" s="395">
        <f>H141*M141</f>
        <v>175164.42</v>
      </c>
      <c r="AB141" s="449">
        <f>SUM(AC141:AF141)</f>
        <v>2944663.68</v>
      </c>
      <c r="AC141" s="395">
        <f>I141*K141</f>
        <v>2683892.58</v>
      </c>
      <c r="AD141" s="611">
        <f>I141*L141</f>
        <v>85606.68</v>
      </c>
      <c r="AE141" s="395">
        <f>I141*M141</f>
        <v>175164.42</v>
      </c>
    </row>
    <row r="142" spans="1:31" ht="22.95" customHeight="1" x14ac:dyDescent="0.25">
      <c r="A142" s="827"/>
      <c r="B142" s="830"/>
      <c r="C142" s="416" t="s">
        <v>58</v>
      </c>
      <c r="D142" s="19" t="s">
        <v>59</v>
      </c>
      <c r="E142" s="11">
        <v>8</v>
      </c>
      <c r="F142" s="11">
        <v>8</v>
      </c>
      <c r="G142" s="11">
        <v>8</v>
      </c>
      <c r="H142" s="415">
        <v>8</v>
      </c>
      <c r="I142" s="415">
        <v>8</v>
      </c>
      <c r="J142" s="150">
        <f>SUM(K142:M142)</f>
        <v>234360</v>
      </c>
      <c r="K142" s="150">
        <f>10000*1.5*1.302*12</f>
        <v>234360</v>
      </c>
      <c r="L142" s="384"/>
      <c r="M142" s="14"/>
      <c r="N142" s="478">
        <f>SUM(O142:R142)</f>
        <v>1874900</v>
      </c>
      <c r="O142" s="14">
        <f>G142*K142+20</f>
        <v>1874900</v>
      </c>
      <c r="P142" s="427"/>
      <c r="Q142" s="427"/>
      <c r="R142" s="150"/>
      <c r="S142" s="149"/>
      <c r="T142" s="149">
        <f>H142*K142-1874880</f>
        <v>0</v>
      </c>
      <c r="U142" s="149">
        <f>I142*K142-1874880</f>
        <v>0</v>
      </c>
    </row>
    <row r="143" spans="1:31" ht="20.399999999999999" customHeight="1" x14ac:dyDescent="0.25">
      <c r="A143" s="827"/>
      <c r="B143" s="831"/>
      <c r="C143" s="417" t="s">
        <v>38</v>
      </c>
      <c r="D143" s="19"/>
      <c r="E143" s="608">
        <f>E131+E141</f>
        <v>211</v>
      </c>
      <c r="F143" s="608">
        <f>F131+F141</f>
        <v>197</v>
      </c>
      <c r="G143" s="754">
        <f>G131+G141</f>
        <v>199</v>
      </c>
      <c r="H143" s="754">
        <f>H131+H141</f>
        <v>199</v>
      </c>
      <c r="I143" s="754">
        <f>I131+I141</f>
        <v>199</v>
      </c>
      <c r="J143" s="427" t="s">
        <v>26</v>
      </c>
      <c r="K143" s="427" t="s">
        <v>26</v>
      </c>
      <c r="L143" s="427" t="s">
        <v>26</v>
      </c>
      <c r="M143" s="14" t="s">
        <v>26</v>
      </c>
      <c r="N143" s="418">
        <f>SUM(N131:N142)</f>
        <v>27506555.98</v>
      </c>
      <c r="O143" s="418">
        <f t="shared" ref="O143:U143" si="50">SUM(O131:O142)</f>
        <v>18857647.829999998</v>
      </c>
      <c r="P143" s="418">
        <f t="shared" si="50"/>
        <v>2839288.22</v>
      </c>
      <c r="Q143" s="418">
        <f t="shared" si="50"/>
        <v>0</v>
      </c>
      <c r="R143" s="772">
        <f t="shared" si="50"/>
        <v>5809619.9299999997</v>
      </c>
      <c r="S143" s="418">
        <f t="shared" si="50"/>
        <v>0</v>
      </c>
      <c r="T143" s="418">
        <f t="shared" si="50"/>
        <v>25631655.98</v>
      </c>
      <c r="U143" s="418">
        <f t="shared" si="50"/>
        <v>25631655.98</v>
      </c>
      <c r="W143" s="1" t="s">
        <v>437</v>
      </c>
      <c r="AB143" s="1" t="s">
        <v>560</v>
      </c>
    </row>
    <row r="144" spans="1:31" ht="75" customHeight="1" x14ac:dyDescent="0.25">
      <c r="A144" s="827"/>
      <c r="B144" s="829" t="s">
        <v>312</v>
      </c>
      <c r="C144" s="22" t="s">
        <v>23</v>
      </c>
      <c r="D144" s="19" t="s">
        <v>24</v>
      </c>
      <c r="E144" s="11">
        <f>261-51</f>
        <v>210</v>
      </c>
      <c r="F144" s="11">
        <f>211-20</f>
        <v>191</v>
      </c>
      <c r="G144" s="11">
        <f>179+11</f>
        <v>190</v>
      </c>
      <c r="H144" s="11">
        <f>179+11</f>
        <v>190</v>
      </c>
      <c r="I144" s="11">
        <f>179+11</f>
        <v>190</v>
      </c>
      <c r="J144" s="384">
        <f>SUM(K144:M144)</f>
        <v>100357.74</v>
      </c>
      <c r="K144" s="14">
        <f>54145.32+2750.57</f>
        <v>56895.89</v>
      </c>
      <c r="L144" s="14">
        <v>14267.78</v>
      </c>
      <c r="M144" s="478">
        <v>29194.07</v>
      </c>
      <c r="N144" s="478">
        <f>SUM(O144:R144)</f>
        <v>19067970.600000001</v>
      </c>
      <c r="O144" s="427">
        <f>G144*K144</f>
        <v>10810219.1</v>
      </c>
      <c r="P144" s="427">
        <f>G144*L144</f>
        <v>2710878.2</v>
      </c>
      <c r="Q144" s="427"/>
      <c r="R144" s="150">
        <f>G144*M144</f>
        <v>5546873.2999999998</v>
      </c>
      <c r="S144" s="149"/>
      <c r="T144" s="149">
        <f>W144</f>
        <v>19067970.600000001</v>
      </c>
      <c r="U144" s="149">
        <f>AB144</f>
        <v>19067970.600000001</v>
      </c>
      <c r="W144" s="449">
        <f>SUM(X144:AA144)</f>
        <v>19067970.600000001</v>
      </c>
      <c r="X144" s="395">
        <f>H144*K144</f>
        <v>10810219.1</v>
      </c>
      <c r="Y144" s="611">
        <f>H144*L144</f>
        <v>2710878.2</v>
      </c>
      <c r="Z144" s="395">
        <f>H144*M144</f>
        <v>5546873.2999999998</v>
      </c>
      <c r="AB144" s="449">
        <f>SUM(AC144:AF144)</f>
        <v>19067970.600000001</v>
      </c>
      <c r="AC144" s="395">
        <f>I144*K144</f>
        <v>10810219.1</v>
      </c>
      <c r="AD144" s="611">
        <f>I144*L144</f>
        <v>2710878.2</v>
      </c>
      <c r="AE144" s="395">
        <f>I144*M144</f>
        <v>5546873.2999999998</v>
      </c>
    </row>
    <row r="145" spans="1:31" ht="106.95" customHeight="1" x14ac:dyDescent="0.25">
      <c r="A145" s="827"/>
      <c r="B145" s="830"/>
      <c r="C145" s="22" t="s">
        <v>63</v>
      </c>
      <c r="D145" s="19" t="s">
        <v>24</v>
      </c>
      <c r="E145" s="11">
        <v>54</v>
      </c>
      <c r="F145" s="11">
        <f>54+24</f>
        <v>78</v>
      </c>
      <c r="G145" s="11">
        <v>77</v>
      </c>
      <c r="H145" s="11">
        <v>77</v>
      </c>
      <c r="I145" s="11">
        <v>77</v>
      </c>
      <c r="J145" s="384">
        <f>SUM(K145:M145)</f>
        <v>106341.04</v>
      </c>
      <c r="K145" s="14">
        <f>60128.62+2750.57</f>
        <v>62879.19</v>
      </c>
      <c r="L145" s="14">
        <v>14267.78</v>
      </c>
      <c r="M145" s="478">
        <v>29194.07</v>
      </c>
      <c r="N145" s="497">
        <f>SUM(O145:R145)</f>
        <v>8188260.0800000001</v>
      </c>
      <c r="O145" s="497">
        <f>G145*K145</f>
        <v>4841697.63</v>
      </c>
      <c r="P145" s="497">
        <f>G145*L145</f>
        <v>1098619.06</v>
      </c>
      <c r="Q145" s="497"/>
      <c r="R145" s="150">
        <f>G145*M145</f>
        <v>2247943.39</v>
      </c>
      <c r="S145" s="149"/>
      <c r="T145" s="149">
        <f>W145</f>
        <v>8188260.0800000001</v>
      </c>
      <c r="U145" s="149">
        <f>AB145</f>
        <v>8188260.0800000001</v>
      </c>
      <c r="W145" s="449">
        <f>SUM(X145:AA145)</f>
        <v>8188260.0800000001</v>
      </c>
      <c r="X145" s="395">
        <f>H145*K145</f>
        <v>4841697.63</v>
      </c>
      <c r="Y145" s="14">
        <f>H145*L145</f>
        <v>1098619.06</v>
      </c>
      <c r="Z145" s="395">
        <f>H145*M145</f>
        <v>2247943.39</v>
      </c>
      <c r="AB145" s="449">
        <f>SUM(AC145:AF145)</f>
        <v>8188260.0800000001</v>
      </c>
      <c r="AC145" s="395">
        <f>I145*K145</f>
        <v>4841697.63</v>
      </c>
      <c r="AD145" s="14">
        <f>I145*L145</f>
        <v>1098619.06</v>
      </c>
      <c r="AE145" s="395">
        <f>I145*M145</f>
        <v>2247943.39</v>
      </c>
    </row>
    <row r="146" spans="1:31" ht="89.4" customHeight="1" x14ac:dyDescent="0.25">
      <c r="A146" s="827"/>
      <c r="B146" s="830"/>
      <c r="C146" s="405" t="s">
        <v>25</v>
      </c>
      <c r="D146" s="19" t="s">
        <v>24</v>
      </c>
      <c r="E146" s="10" t="s">
        <v>26</v>
      </c>
      <c r="F146" s="10" t="s">
        <v>26</v>
      </c>
      <c r="G146" s="10" t="s">
        <v>26</v>
      </c>
      <c r="H146" s="415" t="s">
        <v>26</v>
      </c>
      <c r="I146" s="415" t="s">
        <v>26</v>
      </c>
      <c r="J146" s="426" t="s">
        <v>26</v>
      </c>
      <c r="K146" s="426" t="s">
        <v>26</v>
      </c>
      <c r="L146" s="426" t="s">
        <v>26</v>
      </c>
      <c r="M146" s="415" t="s">
        <v>26</v>
      </c>
      <c r="N146" s="427"/>
      <c r="O146" s="427"/>
      <c r="P146" s="426" t="s">
        <v>26</v>
      </c>
      <c r="Q146" s="426"/>
      <c r="R146" s="415" t="s">
        <v>26</v>
      </c>
      <c r="S146" s="10"/>
      <c r="T146" s="149"/>
      <c r="U146" s="149"/>
    </row>
    <row r="147" spans="1:31" x14ac:dyDescent="0.25">
      <c r="A147" s="827"/>
      <c r="B147" s="830"/>
      <c r="C147" s="385" t="s">
        <v>27</v>
      </c>
      <c r="D147" s="19" t="s">
        <v>24</v>
      </c>
      <c r="E147" s="443"/>
      <c r="F147" s="443"/>
      <c r="G147" s="11">
        <v>0</v>
      </c>
      <c r="H147" s="444">
        <v>0</v>
      </c>
      <c r="I147" s="444">
        <v>0</v>
      </c>
      <c r="J147" s="150">
        <f>K147</f>
        <v>71944.38</v>
      </c>
      <c r="K147" s="150">
        <v>71944.38</v>
      </c>
      <c r="L147" s="426" t="s">
        <v>26</v>
      </c>
      <c r="M147" s="415" t="s">
        <v>26</v>
      </c>
      <c r="N147" s="427">
        <f>O147</f>
        <v>0</v>
      </c>
      <c r="O147" s="427">
        <f>G147*K147</f>
        <v>0</v>
      </c>
      <c r="P147" s="426" t="s">
        <v>26</v>
      </c>
      <c r="Q147" s="426"/>
      <c r="R147" s="415" t="s">
        <v>26</v>
      </c>
      <c r="S147" s="10"/>
      <c r="T147" s="149">
        <f>H147*K147</f>
        <v>0</v>
      </c>
      <c r="U147" s="149">
        <f>I147*K147</f>
        <v>0</v>
      </c>
    </row>
    <row r="148" spans="1:31" x14ac:dyDescent="0.25">
      <c r="A148" s="827"/>
      <c r="B148" s="830"/>
      <c r="C148" s="385" t="s">
        <v>29</v>
      </c>
      <c r="D148" s="19" t="s">
        <v>24</v>
      </c>
      <c r="E148" s="606">
        <f>2+1</f>
        <v>3</v>
      </c>
      <c r="F148" s="606">
        <v>4</v>
      </c>
      <c r="G148" s="11">
        <v>3</v>
      </c>
      <c r="H148" s="444">
        <v>3</v>
      </c>
      <c r="I148" s="444">
        <v>3</v>
      </c>
      <c r="J148" s="150">
        <f>K148</f>
        <v>119806.54</v>
      </c>
      <c r="K148" s="150">
        <v>119806.54</v>
      </c>
      <c r="L148" s="426" t="s">
        <v>26</v>
      </c>
      <c r="M148" s="415" t="s">
        <v>26</v>
      </c>
      <c r="N148" s="427">
        <f>O148</f>
        <v>359419.62</v>
      </c>
      <c r="O148" s="427">
        <f t="shared" ref="O148:O151" si="51">G148*K148</f>
        <v>359419.62</v>
      </c>
      <c r="P148" s="426" t="s">
        <v>26</v>
      </c>
      <c r="Q148" s="426"/>
      <c r="R148" s="415" t="s">
        <v>26</v>
      </c>
      <c r="S148" s="10"/>
      <c r="T148" s="149">
        <f>H148*K148</f>
        <v>359419.62</v>
      </c>
      <c r="U148" s="149">
        <f>I148*K148</f>
        <v>359419.62</v>
      </c>
    </row>
    <row r="149" spans="1:31" x14ac:dyDescent="0.25">
      <c r="A149" s="827"/>
      <c r="B149" s="830"/>
      <c r="C149" s="385" t="s">
        <v>31</v>
      </c>
      <c r="D149" s="19" t="s">
        <v>24</v>
      </c>
      <c r="E149" s="693">
        <f>3-1</f>
        <v>2</v>
      </c>
      <c r="F149" s="606">
        <v>1</v>
      </c>
      <c r="G149" s="11">
        <v>1</v>
      </c>
      <c r="H149" s="444">
        <v>1</v>
      </c>
      <c r="I149" s="444">
        <v>1</v>
      </c>
      <c r="J149" s="150">
        <f>K149</f>
        <v>310708.38</v>
      </c>
      <c r="K149" s="150">
        <v>310708.38</v>
      </c>
      <c r="L149" s="426" t="s">
        <v>26</v>
      </c>
      <c r="M149" s="415" t="s">
        <v>26</v>
      </c>
      <c r="N149" s="427">
        <f>O149</f>
        <v>310708.38</v>
      </c>
      <c r="O149" s="427">
        <f t="shared" si="51"/>
        <v>310708.38</v>
      </c>
      <c r="P149" s="426" t="s">
        <v>26</v>
      </c>
      <c r="Q149" s="426"/>
      <c r="R149" s="415"/>
      <c r="S149" s="10"/>
      <c r="T149" s="149">
        <f>H149*K149</f>
        <v>310708.38</v>
      </c>
      <c r="U149" s="149">
        <f>I149*K149</f>
        <v>310708.38</v>
      </c>
    </row>
    <row r="150" spans="1:31" x14ac:dyDescent="0.25">
      <c r="A150" s="827"/>
      <c r="B150" s="830"/>
      <c r="C150" s="385" t="s">
        <v>33</v>
      </c>
      <c r="D150" s="19" t="s">
        <v>24</v>
      </c>
      <c r="E150" s="606">
        <v>1</v>
      </c>
      <c r="F150" s="606">
        <v>1</v>
      </c>
      <c r="G150" s="11">
        <v>1</v>
      </c>
      <c r="H150" s="444">
        <v>1</v>
      </c>
      <c r="I150" s="444">
        <v>1</v>
      </c>
      <c r="J150" s="150">
        <f>K150</f>
        <v>26113.16</v>
      </c>
      <c r="K150" s="150">
        <v>26113.16</v>
      </c>
      <c r="L150" s="426" t="s">
        <v>26</v>
      </c>
      <c r="M150" s="415" t="s">
        <v>26</v>
      </c>
      <c r="N150" s="427">
        <f>O150</f>
        <v>26113.16</v>
      </c>
      <c r="O150" s="427">
        <f t="shared" si="51"/>
        <v>26113.16</v>
      </c>
      <c r="P150" s="426" t="s">
        <v>26</v>
      </c>
      <c r="Q150" s="426"/>
      <c r="R150" s="415"/>
      <c r="S150" s="10"/>
      <c r="T150" s="149">
        <f>H150*K150</f>
        <v>26113.16</v>
      </c>
      <c r="U150" s="149">
        <f>I150*K150</f>
        <v>26113.16</v>
      </c>
    </row>
    <row r="151" spans="1:31" x14ac:dyDescent="0.25">
      <c r="A151" s="827"/>
      <c r="B151" s="830"/>
      <c r="C151" s="385" t="s">
        <v>34</v>
      </c>
      <c r="D151" s="19" t="s">
        <v>24</v>
      </c>
      <c r="E151" s="606">
        <v>6</v>
      </c>
      <c r="F151" s="606">
        <v>10</v>
      </c>
      <c r="G151" s="11">
        <f>7-1</f>
        <v>6</v>
      </c>
      <c r="H151" s="444">
        <v>6</v>
      </c>
      <c r="I151" s="444">
        <v>6</v>
      </c>
      <c r="J151" s="150">
        <f>K151</f>
        <v>18697.54</v>
      </c>
      <c r="K151" s="150">
        <v>18697.54</v>
      </c>
      <c r="L151" s="426" t="s">
        <v>26</v>
      </c>
      <c r="M151" s="415" t="s">
        <v>26</v>
      </c>
      <c r="N151" s="427">
        <f>O151</f>
        <v>112185.24</v>
      </c>
      <c r="O151" s="427">
        <f t="shared" si="51"/>
        <v>112185.24</v>
      </c>
      <c r="P151" s="426" t="s">
        <v>26</v>
      </c>
      <c r="Q151" s="426"/>
      <c r="R151" s="415" t="s">
        <v>26</v>
      </c>
      <c r="S151" s="10"/>
      <c r="T151" s="149">
        <f>H151*K151</f>
        <v>112185.24</v>
      </c>
      <c r="U151" s="149">
        <f>I151*K151</f>
        <v>112185.24</v>
      </c>
    </row>
    <row r="152" spans="1:31" ht="82.95" customHeight="1" x14ac:dyDescent="0.25">
      <c r="A152" s="827"/>
      <c r="B152" s="831"/>
      <c r="C152" s="385" t="s">
        <v>35</v>
      </c>
      <c r="D152" s="19" t="s">
        <v>24</v>
      </c>
      <c r="E152" s="606">
        <v>3</v>
      </c>
      <c r="F152" s="606">
        <v>4</v>
      </c>
      <c r="G152" s="11">
        <v>4</v>
      </c>
      <c r="H152" s="444">
        <v>4</v>
      </c>
      <c r="I152" s="444">
        <v>4</v>
      </c>
      <c r="J152" s="150">
        <f>SUM(K152:M152)</f>
        <v>547942.24</v>
      </c>
      <c r="K152" s="150">
        <f>501729.82+2750.57</f>
        <v>504480.39</v>
      </c>
      <c r="L152" s="14">
        <v>14267.78</v>
      </c>
      <c r="M152" s="478">
        <v>29194.07</v>
      </c>
      <c r="N152" s="395">
        <f>SUM(O152:R152)</f>
        <v>2191768.96</v>
      </c>
      <c r="O152" s="427">
        <f>G152*K152</f>
        <v>2017921.56</v>
      </c>
      <c r="P152" s="427">
        <f>G152*L152</f>
        <v>57071.12</v>
      </c>
      <c r="Q152" s="395"/>
      <c r="R152" s="150">
        <f>G152*M152</f>
        <v>116776.28</v>
      </c>
      <c r="S152" s="149"/>
      <c r="T152" s="149">
        <f>W152</f>
        <v>2191768.96</v>
      </c>
      <c r="U152" s="149">
        <f>AB152</f>
        <v>2191768.96</v>
      </c>
      <c r="W152" s="449">
        <f>SUM(X152:AA152)</f>
        <v>2191768.96</v>
      </c>
      <c r="X152" s="395">
        <f>H152*K152</f>
        <v>2017921.56</v>
      </c>
      <c r="Y152" s="14">
        <f>H152*L152</f>
        <v>57071.12</v>
      </c>
      <c r="Z152" s="395">
        <f>H152*M152</f>
        <v>116776.28</v>
      </c>
      <c r="AB152" s="449">
        <f>SUM(AC152:AF152)</f>
        <v>2191768.96</v>
      </c>
      <c r="AC152" s="395">
        <f>I152*K152</f>
        <v>2017921.56</v>
      </c>
      <c r="AD152" s="14">
        <f>I152*L152</f>
        <v>57071.12</v>
      </c>
      <c r="AE152" s="395">
        <f>I152*M152</f>
        <v>116776.28</v>
      </c>
    </row>
    <row r="153" spans="1:31" ht="18.600000000000001" customHeight="1" x14ac:dyDescent="0.25">
      <c r="A153" s="827"/>
      <c r="B153" s="402"/>
      <c r="C153" s="386" t="s">
        <v>58</v>
      </c>
      <c r="D153" s="400" t="s">
        <v>59</v>
      </c>
      <c r="E153" s="6">
        <v>10</v>
      </c>
      <c r="F153" s="6">
        <v>10</v>
      </c>
      <c r="G153" s="615">
        <v>10</v>
      </c>
      <c r="H153" s="7">
        <v>10</v>
      </c>
      <c r="I153" s="7">
        <v>10</v>
      </c>
      <c r="J153" s="31">
        <f>SUM(K153:M153)</f>
        <v>234360</v>
      </c>
      <c r="K153" s="31">
        <f>10000*1.5*1.302*12</f>
        <v>234360</v>
      </c>
      <c r="L153" s="20"/>
      <c r="M153" s="21"/>
      <c r="N153" s="482">
        <f>SUM(O153:R153)</f>
        <v>2343600</v>
      </c>
      <c r="O153" s="21">
        <f>G153*K153</f>
        <v>2343600</v>
      </c>
      <c r="P153" s="382"/>
      <c r="Q153" s="387"/>
      <c r="R153" s="31"/>
      <c r="S153" s="23"/>
      <c r="T153" s="484">
        <f>H153*K153-2343600</f>
        <v>0</v>
      </c>
      <c r="U153" s="484">
        <f>I153*K153-2343600</f>
        <v>0</v>
      </c>
    </row>
    <row r="154" spans="1:31" ht="23.4" customHeight="1" x14ac:dyDescent="0.25">
      <c r="A154" s="827"/>
      <c r="B154" s="402"/>
      <c r="C154" s="401" t="s">
        <v>38</v>
      </c>
      <c r="D154" s="400"/>
      <c r="E154" s="614">
        <f>E144+E145+E152</f>
        <v>267</v>
      </c>
      <c r="F154" s="614">
        <f>F144+F145+F152</f>
        <v>273</v>
      </c>
      <c r="G154" s="755">
        <f>G144+G145+G152</f>
        <v>271</v>
      </c>
      <c r="H154" s="756">
        <f>H144+H145+H152</f>
        <v>271</v>
      </c>
      <c r="I154" s="756">
        <f>I144+I145+I152</f>
        <v>271</v>
      </c>
      <c r="J154" s="387" t="s">
        <v>26</v>
      </c>
      <c r="K154" s="387" t="s">
        <v>26</v>
      </c>
      <c r="L154" s="387" t="s">
        <v>26</v>
      </c>
      <c r="M154" s="31" t="s">
        <v>26</v>
      </c>
      <c r="N154" s="388">
        <f>SUM(N144:N153)</f>
        <v>32600026.039999999</v>
      </c>
      <c r="O154" s="388">
        <f t="shared" ref="O154:U154" si="52">SUM(O144:O153)</f>
        <v>20821864.690000001</v>
      </c>
      <c r="P154" s="388">
        <f t="shared" si="52"/>
        <v>3866568.38</v>
      </c>
      <c r="Q154" s="388">
        <f t="shared" si="52"/>
        <v>0</v>
      </c>
      <c r="R154" s="775">
        <f t="shared" si="52"/>
        <v>7911592.9699999997</v>
      </c>
      <c r="S154" s="388">
        <f t="shared" si="52"/>
        <v>0</v>
      </c>
      <c r="T154" s="388">
        <f t="shared" si="52"/>
        <v>30256426.039999999</v>
      </c>
      <c r="U154" s="388">
        <f t="shared" si="52"/>
        <v>30256426.039999999</v>
      </c>
      <c r="W154" s="1" t="s">
        <v>562</v>
      </c>
    </row>
    <row r="155" spans="1:31" ht="73.2" customHeight="1" x14ac:dyDescent="0.25">
      <c r="A155" s="827"/>
      <c r="B155" s="829" t="s">
        <v>113</v>
      </c>
      <c r="C155" s="22" t="s">
        <v>23</v>
      </c>
      <c r="D155" s="19" t="s">
        <v>24</v>
      </c>
      <c r="E155" s="606">
        <v>43</v>
      </c>
      <c r="F155" s="606">
        <v>43</v>
      </c>
      <c r="G155" s="11">
        <v>43</v>
      </c>
      <c r="H155" s="444">
        <v>43</v>
      </c>
      <c r="I155" s="444">
        <v>43</v>
      </c>
      <c r="J155" s="384">
        <f>SUM(K155:M155)</f>
        <v>116333.36</v>
      </c>
      <c r="K155" s="14">
        <f>70145.11+2726.4</f>
        <v>72871.509999999995</v>
      </c>
      <c r="L155" s="14">
        <v>14267.78</v>
      </c>
      <c r="M155" s="478">
        <v>29194.07</v>
      </c>
      <c r="N155" s="449">
        <f>SUM(O155:R155)</f>
        <v>5002334.4800000004</v>
      </c>
      <c r="O155" s="395">
        <f>G155*K155</f>
        <v>3133474.93</v>
      </c>
      <c r="P155" s="14">
        <f>G155*L155</f>
        <v>613514.54</v>
      </c>
      <c r="Q155" s="395"/>
      <c r="R155" s="150">
        <f>G155*M155</f>
        <v>1255345.01</v>
      </c>
      <c r="S155" s="149"/>
      <c r="T155" s="149">
        <f>W155</f>
        <v>5002334.4800000004</v>
      </c>
      <c r="U155" s="149">
        <f>AB155</f>
        <v>5002334.4800000004</v>
      </c>
      <c r="W155" s="449">
        <f>SUM(X155:AA155)</f>
        <v>5002334.4800000004</v>
      </c>
      <c r="X155" s="395">
        <f>H155*K155</f>
        <v>3133474.93</v>
      </c>
      <c r="Y155" s="611">
        <f>H155*L155</f>
        <v>613514.54</v>
      </c>
      <c r="Z155" s="395">
        <f>H155*M155</f>
        <v>1255345.01</v>
      </c>
      <c r="AA155" s="150">
        <f>P155*V155</f>
        <v>0</v>
      </c>
      <c r="AB155" s="449">
        <f>SUM(AC155:AF155)</f>
        <v>5002334.4800000004</v>
      </c>
      <c r="AC155" s="395">
        <f>I155*K155</f>
        <v>3133474.93</v>
      </c>
      <c r="AD155" s="14">
        <f>I155*L155</f>
        <v>613514.54</v>
      </c>
      <c r="AE155" s="395">
        <f>I155*M155</f>
        <v>1255345.01</v>
      </c>
    </row>
    <row r="156" spans="1:31" ht="82.8" x14ac:dyDescent="0.25">
      <c r="A156" s="827"/>
      <c r="B156" s="830"/>
      <c r="C156" s="405" t="s">
        <v>25</v>
      </c>
      <c r="D156" s="19" t="s">
        <v>24</v>
      </c>
      <c r="E156" s="10" t="s">
        <v>26</v>
      </c>
      <c r="F156" s="10" t="s">
        <v>26</v>
      </c>
      <c r="G156" s="11" t="s">
        <v>26</v>
      </c>
      <c r="H156" s="415" t="s">
        <v>26</v>
      </c>
      <c r="I156" s="415" t="s">
        <v>26</v>
      </c>
      <c r="J156" s="426" t="s">
        <v>26</v>
      </c>
      <c r="K156" s="426" t="s">
        <v>26</v>
      </c>
      <c r="L156" s="426" t="s">
        <v>26</v>
      </c>
      <c r="M156" s="415" t="s">
        <v>26</v>
      </c>
      <c r="N156" s="427"/>
      <c r="O156" s="427"/>
      <c r="P156" s="426" t="s">
        <v>26</v>
      </c>
      <c r="Q156" s="426"/>
      <c r="R156" s="415" t="s">
        <v>26</v>
      </c>
      <c r="S156" s="10"/>
      <c r="T156" s="149"/>
      <c r="U156" s="149"/>
    </row>
    <row r="157" spans="1:31" x14ac:dyDescent="0.25">
      <c r="A157" s="827"/>
      <c r="B157" s="830"/>
      <c r="C157" s="405" t="s">
        <v>29</v>
      </c>
      <c r="D157" s="19" t="s">
        <v>24</v>
      </c>
      <c r="E157" s="443">
        <f>1-1</f>
        <v>0</v>
      </c>
      <c r="F157" s="606">
        <f>1-1</f>
        <v>0</v>
      </c>
      <c r="G157" s="11">
        <v>0</v>
      </c>
      <c r="H157" s="444">
        <v>0</v>
      </c>
      <c r="I157" s="444">
        <v>0</v>
      </c>
      <c r="J157" s="150">
        <f>K157</f>
        <v>122576.58</v>
      </c>
      <c r="K157" s="150">
        <v>122576.58</v>
      </c>
      <c r="L157" s="426" t="s">
        <v>26</v>
      </c>
      <c r="M157" s="415" t="s">
        <v>26</v>
      </c>
      <c r="N157" s="427">
        <f>O157</f>
        <v>0</v>
      </c>
      <c r="O157" s="427">
        <f>G157*K157</f>
        <v>0</v>
      </c>
      <c r="P157" s="426" t="s">
        <v>26</v>
      </c>
      <c r="Q157" s="426"/>
      <c r="R157" s="415" t="s">
        <v>26</v>
      </c>
      <c r="S157" s="10"/>
      <c r="T157" s="149">
        <f>H157*K157</f>
        <v>0</v>
      </c>
      <c r="U157" s="149">
        <f>I157*K157</f>
        <v>0</v>
      </c>
    </row>
    <row r="158" spans="1:31" ht="82.95" customHeight="1" x14ac:dyDescent="0.25">
      <c r="A158" s="827"/>
      <c r="B158" s="831"/>
      <c r="C158" s="405" t="s">
        <v>35</v>
      </c>
      <c r="D158" s="19" t="s">
        <v>24</v>
      </c>
      <c r="E158" s="411"/>
      <c r="F158" s="411">
        <v>0</v>
      </c>
      <c r="G158" s="612">
        <v>0</v>
      </c>
      <c r="H158" s="444">
        <v>0</v>
      </c>
      <c r="I158" s="444">
        <v>0</v>
      </c>
      <c r="J158" s="150">
        <f>SUM(K158:M158)</f>
        <v>603319.05000000005</v>
      </c>
      <c r="K158" s="150">
        <f>557130.8+2726.4</f>
        <v>559857.19999999995</v>
      </c>
      <c r="L158" s="14">
        <v>14267.78</v>
      </c>
      <c r="M158" s="478">
        <v>29194.07</v>
      </c>
      <c r="N158" s="395">
        <f>SUM(O158:R158)</f>
        <v>0</v>
      </c>
      <c r="O158" s="395">
        <f>G158*K158</f>
        <v>0</v>
      </c>
      <c r="P158" s="395">
        <f>G158*L158</f>
        <v>0</v>
      </c>
      <c r="Q158" s="395"/>
      <c r="R158" s="150">
        <f>G158*M158</f>
        <v>0</v>
      </c>
      <c r="S158" s="396"/>
      <c r="T158" s="149">
        <f>H158*J158</f>
        <v>0</v>
      </c>
      <c r="U158" s="149">
        <f>I158*J158</f>
        <v>0</v>
      </c>
    </row>
    <row r="159" spans="1:31" ht="17.399999999999999" customHeight="1" x14ac:dyDescent="0.25">
      <c r="A159" s="827"/>
      <c r="B159" s="402"/>
      <c r="C159" s="416" t="s">
        <v>58</v>
      </c>
      <c r="D159" s="19" t="s">
        <v>59</v>
      </c>
      <c r="E159" s="606">
        <v>2</v>
      </c>
      <c r="F159" s="606">
        <v>2</v>
      </c>
      <c r="G159" s="11">
        <v>2</v>
      </c>
      <c r="H159" s="444">
        <v>2</v>
      </c>
      <c r="I159" s="444">
        <v>2</v>
      </c>
      <c r="J159" s="150">
        <f>SUM(K159:M159)</f>
        <v>234360</v>
      </c>
      <c r="K159" s="150">
        <f>10000*1.5*1.302*12</f>
        <v>234360</v>
      </c>
      <c r="L159" s="384"/>
      <c r="M159" s="14"/>
      <c r="N159" s="449">
        <f>SUM(O159:R159)</f>
        <v>468720</v>
      </c>
      <c r="O159" s="150">
        <f>K159*G159</f>
        <v>468720</v>
      </c>
      <c r="P159" s="395"/>
      <c r="Q159" s="395"/>
      <c r="R159" s="150"/>
      <c r="S159" s="396"/>
      <c r="T159" s="149">
        <f>H159*K159-468720</f>
        <v>0</v>
      </c>
      <c r="U159" s="149">
        <f>I159*K159-468720</f>
        <v>0</v>
      </c>
    </row>
    <row r="160" spans="1:31" ht="27.6" customHeight="1" x14ac:dyDescent="0.25">
      <c r="A160" s="827"/>
      <c r="B160" s="402"/>
      <c r="C160" s="417" t="s">
        <v>38</v>
      </c>
      <c r="D160" s="19"/>
      <c r="E160" s="607">
        <f>E155+E158</f>
        <v>43</v>
      </c>
      <c r="F160" s="692">
        <f>F155+F158</f>
        <v>43</v>
      </c>
      <c r="G160" s="607">
        <f>G155+G158</f>
        <v>43</v>
      </c>
      <c r="H160" s="609">
        <f>H155+H158</f>
        <v>43</v>
      </c>
      <c r="I160" s="609">
        <f>I155+I158</f>
        <v>43</v>
      </c>
      <c r="J160" s="395" t="s">
        <v>26</v>
      </c>
      <c r="K160" s="395" t="s">
        <v>26</v>
      </c>
      <c r="L160" s="395" t="s">
        <v>26</v>
      </c>
      <c r="M160" s="150" t="s">
        <v>26</v>
      </c>
      <c r="N160" s="413">
        <f>SUM(N155:N159)</f>
        <v>5471054.4800000004</v>
      </c>
      <c r="O160" s="413">
        <f t="shared" ref="O160:U160" si="53">SUM(O155:O159)</f>
        <v>3602194.93</v>
      </c>
      <c r="P160" s="413">
        <f t="shared" si="53"/>
        <v>613514.54</v>
      </c>
      <c r="Q160" s="413">
        <f t="shared" si="53"/>
        <v>0</v>
      </c>
      <c r="R160" s="645">
        <f t="shared" si="53"/>
        <v>1255345.01</v>
      </c>
      <c r="S160" s="413">
        <f t="shared" si="53"/>
        <v>0</v>
      </c>
      <c r="T160" s="413">
        <f t="shared" si="53"/>
        <v>5002334.4800000004</v>
      </c>
      <c r="U160" s="413">
        <f t="shared" si="53"/>
        <v>5002334.4800000004</v>
      </c>
    </row>
    <row r="161" spans="1:31" ht="52.95" customHeight="1" x14ac:dyDescent="0.25">
      <c r="A161" s="827"/>
      <c r="B161" s="834" t="s">
        <v>313</v>
      </c>
      <c r="C161" s="850" t="s">
        <v>41</v>
      </c>
      <c r="D161" s="19" t="s">
        <v>24</v>
      </c>
      <c r="E161" s="693">
        <f>884+263-284+298</f>
        <v>1161</v>
      </c>
      <c r="F161" s="444">
        <f>884+263+14</f>
        <v>1161</v>
      </c>
      <c r="G161" s="445">
        <f>958+203</f>
        <v>1161</v>
      </c>
      <c r="H161" s="444">
        <f>884+263-189+203</f>
        <v>1161</v>
      </c>
      <c r="I161" s="444">
        <f>884+263-189+203</f>
        <v>1161</v>
      </c>
      <c r="J161" s="150">
        <f>K161</f>
        <v>5125.76</v>
      </c>
      <c r="K161" s="150">
        <v>5125.76</v>
      </c>
      <c r="L161" s="395" t="s">
        <v>26</v>
      </c>
      <c r="M161" s="150" t="s">
        <v>26</v>
      </c>
      <c r="N161" s="395">
        <f>SUM(O161:R161)</f>
        <v>5951007.3600000003</v>
      </c>
      <c r="O161" s="150">
        <f>G161*K161</f>
        <v>5951007.3600000003</v>
      </c>
      <c r="P161" s="395" t="s">
        <v>26</v>
      </c>
      <c r="Q161" s="395"/>
      <c r="R161" s="150" t="s">
        <v>26</v>
      </c>
      <c r="S161" s="396"/>
      <c r="T161" s="149">
        <f>H161*J161</f>
        <v>5951007.3600000003</v>
      </c>
      <c r="U161" s="149">
        <f>I161*J161</f>
        <v>5951007.3600000003</v>
      </c>
    </row>
    <row r="162" spans="1:31" ht="48" customHeight="1" x14ac:dyDescent="0.25">
      <c r="A162" s="827"/>
      <c r="B162" s="835"/>
      <c r="C162" s="851"/>
      <c r="D162" s="433" t="s">
        <v>232</v>
      </c>
      <c r="E162" s="394">
        <v>46667</v>
      </c>
      <c r="F162" s="610">
        <v>46667</v>
      </c>
      <c r="G162" s="696">
        <v>51160</v>
      </c>
      <c r="H162" s="701">
        <f>46667+4493</f>
        <v>51160</v>
      </c>
      <c r="I162" s="701">
        <f>46667+4493</f>
        <v>51160</v>
      </c>
      <c r="J162" s="394">
        <f>K162</f>
        <v>116.32</v>
      </c>
      <c r="K162" s="394">
        <f>N162/G162</f>
        <v>116.32</v>
      </c>
      <c r="L162" s="393" t="s">
        <v>26</v>
      </c>
      <c r="M162" s="394" t="s">
        <v>26</v>
      </c>
      <c r="N162" s="393">
        <f>N161</f>
        <v>5951007.3600000003</v>
      </c>
      <c r="O162" s="393">
        <f>O161</f>
        <v>5951007.3600000003</v>
      </c>
      <c r="P162" s="393" t="s">
        <v>26</v>
      </c>
      <c r="Q162" s="393"/>
      <c r="R162" s="394" t="s">
        <v>26</v>
      </c>
      <c r="S162" s="393"/>
      <c r="T162" s="394">
        <f>T161/G162*H162</f>
        <v>5951007.3600000003</v>
      </c>
      <c r="U162" s="394">
        <f>U161/G162*I162</f>
        <v>5951007.3600000003</v>
      </c>
    </row>
    <row r="163" spans="1:31" ht="18.600000000000001" customHeight="1" x14ac:dyDescent="0.25">
      <c r="A163" s="827"/>
      <c r="B163" s="390"/>
      <c r="C163" s="401" t="s">
        <v>38</v>
      </c>
      <c r="D163" s="409"/>
      <c r="E163" s="606">
        <f>SUM(E161:E161)</f>
        <v>1161</v>
      </c>
      <c r="F163" s="606">
        <f>SUM(F161:F161)</f>
        <v>1161</v>
      </c>
      <c r="G163" s="606">
        <f>SUM(G161:G161)</f>
        <v>1161</v>
      </c>
      <c r="H163" s="444">
        <f>SUM(H161:H161)</f>
        <v>1161</v>
      </c>
      <c r="I163" s="444">
        <f>SUM(I161:I161)</f>
        <v>1161</v>
      </c>
      <c r="J163" s="395" t="s">
        <v>26</v>
      </c>
      <c r="K163" s="395" t="s">
        <v>26</v>
      </c>
      <c r="L163" s="395" t="s">
        <v>26</v>
      </c>
      <c r="M163" s="150">
        <f t="shared" ref="M163:U163" si="54">SUM(M161:M161)</f>
        <v>0</v>
      </c>
      <c r="N163" s="413">
        <f>SUM(N161:N161)</f>
        <v>5951007.3600000003</v>
      </c>
      <c r="O163" s="395">
        <f t="shared" si="54"/>
        <v>5951007.3600000003</v>
      </c>
      <c r="P163" s="395">
        <f t="shared" si="54"/>
        <v>0</v>
      </c>
      <c r="Q163" s="395"/>
      <c r="R163" s="150">
        <f t="shared" si="54"/>
        <v>0</v>
      </c>
      <c r="S163" s="396"/>
      <c r="T163" s="395">
        <f t="shared" si="54"/>
        <v>5951007.3600000003</v>
      </c>
      <c r="U163" s="395">
        <f t="shared" si="54"/>
        <v>5951007.3600000003</v>
      </c>
      <c r="V163" s="25"/>
      <c r="W163" s="25"/>
      <c r="X163" s="25"/>
    </row>
    <row r="164" spans="1:31" ht="27.6" x14ac:dyDescent="0.25">
      <c r="A164" s="827"/>
      <c r="B164" s="434" t="s">
        <v>45</v>
      </c>
      <c r="C164" s="27" t="s">
        <v>44</v>
      </c>
      <c r="D164" s="410" t="s">
        <v>46</v>
      </c>
      <c r="E164" s="606"/>
      <c r="F164" s="606"/>
      <c r="G164" s="11">
        <v>0</v>
      </c>
      <c r="H164" s="606"/>
      <c r="I164" s="606"/>
      <c r="J164" s="395"/>
      <c r="K164" s="395"/>
      <c r="L164" s="150">
        <v>263700.28000000003</v>
      </c>
      <c r="M164" s="150"/>
      <c r="N164" s="395">
        <f>P164</f>
        <v>0</v>
      </c>
      <c r="O164" s="395"/>
      <c r="P164" s="395">
        <f>G164*L164</f>
        <v>0</v>
      </c>
      <c r="Q164" s="395"/>
      <c r="R164" s="150"/>
      <c r="S164" s="396"/>
      <c r="T164" s="149">
        <f>P164</f>
        <v>0</v>
      </c>
      <c r="U164" s="149">
        <f t="shared" ref="U164:U170" si="55">T164</f>
        <v>0</v>
      </c>
      <c r="V164" s="25"/>
      <c r="W164" s="25"/>
    </row>
    <row r="165" spans="1:31" ht="27.6" hidden="1" x14ac:dyDescent="0.25">
      <c r="A165" s="827"/>
      <c r="B165" s="434" t="s">
        <v>45</v>
      </c>
      <c r="C165" s="27" t="s">
        <v>44</v>
      </c>
      <c r="D165" s="410" t="s">
        <v>46</v>
      </c>
      <c r="E165" s="606"/>
      <c r="F165" s="606"/>
      <c r="G165" s="11">
        <f t="shared" ref="G165:G167" si="56">((E165*8)+(F165*4))/12</f>
        <v>0</v>
      </c>
      <c r="H165" s="444">
        <v>14</v>
      </c>
      <c r="I165" s="444">
        <v>14</v>
      </c>
      <c r="J165" s="395"/>
      <c r="K165" s="395"/>
      <c r="L165" s="150"/>
      <c r="M165" s="150"/>
      <c r="N165" s="395">
        <f t="shared" ref="N165:N168" si="57">P165</f>
        <v>0</v>
      </c>
      <c r="O165" s="395"/>
      <c r="P165" s="395">
        <f t="shared" ref="P165:P168" si="58">G165*L165</f>
        <v>0</v>
      </c>
      <c r="Q165" s="395"/>
      <c r="R165" s="150"/>
      <c r="S165" s="396"/>
      <c r="T165" s="149"/>
      <c r="U165" s="149">
        <f t="shared" si="55"/>
        <v>0</v>
      </c>
    </row>
    <row r="166" spans="1:31" ht="27.6" hidden="1" x14ac:dyDescent="0.25">
      <c r="A166" s="827"/>
      <c r="B166" s="434" t="s">
        <v>45</v>
      </c>
      <c r="C166" s="27" t="s">
        <v>44</v>
      </c>
      <c r="D166" s="410" t="s">
        <v>46</v>
      </c>
      <c r="E166" s="606"/>
      <c r="F166" s="606"/>
      <c r="G166" s="11">
        <f t="shared" si="56"/>
        <v>0</v>
      </c>
      <c r="H166" s="444"/>
      <c r="I166" s="444"/>
      <c r="J166" s="395"/>
      <c r="K166" s="395"/>
      <c r="L166" s="150"/>
      <c r="M166" s="150"/>
      <c r="N166" s="395">
        <f t="shared" si="57"/>
        <v>0</v>
      </c>
      <c r="O166" s="395"/>
      <c r="P166" s="395">
        <f t="shared" si="58"/>
        <v>0</v>
      </c>
      <c r="Q166" s="395"/>
      <c r="R166" s="150"/>
      <c r="S166" s="396"/>
      <c r="T166" s="149">
        <f>Q166</f>
        <v>0</v>
      </c>
      <c r="U166" s="149">
        <f t="shared" si="55"/>
        <v>0</v>
      </c>
    </row>
    <row r="167" spans="1:31" ht="27.6" hidden="1" x14ac:dyDescent="0.25">
      <c r="A167" s="827"/>
      <c r="B167" s="434" t="s">
        <v>45</v>
      </c>
      <c r="C167" s="27" t="s">
        <v>44</v>
      </c>
      <c r="D167" s="410" t="s">
        <v>46</v>
      </c>
      <c r="E167" s="606"/>
      <c r="F167" s="606"/>
      <c r="G167" s="11">
        <f t="shared" si="56"/>
        <v>0</v>
      </c>
      <c r="H167" s="444">
        <v>14</v>
      </c>
      <c r="I167" s="444">
        <v>14</v>
      </c>
      <c r="J167" s="395"/>
      <c r="K167" s="395"/>
      <c r="L167" s="150"/>
      <c r="M167" s="150"/>
      <c r="N167" s="395">
        <f t="shared" si="57"/>
        <v>0</v>
      </c>
      <c r="O167" s="395"/>
      <c r="P167" s="395">
        <f t="shared" si="58"/>
        <v>0</v>
      </c>
      <c r="Q167" s="395"/>
      <c r="R167" s="150"/>
      <c r="S167" s="396"/>
      <c r="T167" s="149"/>
      <c r="U167" s="149"/>
    </row>
    <row r="168" spans="1:31" ht="27.6" x14ac:dyDescent="0.25">
      <c r="A168" s="827"/>
      <c r="B168" s="434" t="s">
        <v>45</v>
      </c>
      <c r="C168" s="27" t="s">
        <v>44</v>
      </c>
      <c r="D168" s="410" t="s">
        <v>46</v>
      </c>
      <c r="E168" s="606">
        <f>9-1</f>
        <v>8</v>
      </c>
      <c r="F168" s="606">
        <f>9-1</f>
        <v>8</v>
      </c>
      <c r="G168" s="11">
        <v>8</v>
      </c>
      <c r="H168" s="606">
        <f>9-1</f>
        <v>8</v>
      </c>
      <c r="I168" s="606">
        <f>9-1</f>
        <v>8</v>
      </c>
      <c r="J168" s="395"/>
      <c r="K168" s="395"/>
      <c r="L168" s="150">
        <v>316440.09999999998</v>
      </c>
      <c r="M168" s="150"/>
      <c r="N168" s="395">
        <f t="shared" si="57"/>
        <v>2531520.7999999998</v>
      </c>
      <c r="O168" s="395"/>
      <c r="P168" s="395">
        <f t="shared" si="58"/>
        <v>2531520.7999999998</v>
      </c>
      <c r="Q168" s="395"/>
      <c r="R168" s="150"/>
      <c r="S168" s="396"/>
      <c r="T168" s="149">
        <f>H168*L168</f>
        <v>2531520.7999999998</v>
      </c>
      <c r="U168" s="149">
        <f>I168*L168</f>
        <v>2531520.7999999998</v>
      </c>
    </row>
    <row r="169" spans="1:31" ht="14.4" customHeight="1" x14ac:dyDescent="0.25">
      <c r="A169" s="827"/>
      <c r="B169" s="27" t="s">
        <v>47</v>
      </c>
      <c r="C169" s="27" t="s">
        <v>44</v>
      </c>
      <c r="D169" s="19"/>
      <c r="E169" s="606">
        <v>20</v>
      </c>
      <c r="F169" s="606">
        <v>20</v>
      </c>
      <c r="G169" s="606">
        <v>20</v>
      </c>
      <c r="H169" s="444">
        <v>20</v>
      </c>
      <c r="I169" s="444">
        <v>20</v>
      </c>
      <c r="J169" s="395"/>
      <c r="K169" s="395"/>
      <c r="L169" s="395"/>
      <c r="M169" s="150"/>
      <c r="N169" s="449">
        <f>SUM(O169:R169)</f>
        <v>4687220</v>
      </c>
      <c r="O169" s="150">
        <f>O159+O153+O142</f>
        <v>4687220</v>
      </c>
      <c r="P169" s="395"/>
      <c r="Q169" s="395"/>
      <c r="R169" s="150"/>
      <c r="S169" s="396"/>
      <c r="T169" s="149">
        <f>T159+T153+T142</f>
        <v>0</v>
      </c>
      <c r="U169" s="149">
        <f>U159+U153+U142</f>
        <v>0</v>
      </c>
    </row>
    <row r="170" spans="1:31" hidden="1" x14ac:dyDescent="0.25">
      <c r="A170" s="827"/>
      <c r="B170" s="27" t="s">
        <v>48</v>
      </c>
      <c r="C170" s="27" t="s">
        <v>44</v>
      </c>
      <c r="D170" s="19"/>
      <c r="E170" s="606"/>
      <c r="F170" s="606"/>
      <c r="G170" s="606"/>
      <c r="H170" s="444"/>
      <c r="I170" s="444"/>
      <c r="J170" s="395"/>
      <c r="K170" s="395"/>
      <c r="L170" s="395"/>
      <c r="M170" s="150"/>
      <c r="N170" s="395">
        <f>O170</f>
        <v>0</v>
      </c>
      <c r="O170" s="395"/>
      <c r="P170" s="395"/>
      <c r="Q170" s="395"/>
      <c r="R170" s="150"/>
      <c r="S170" s="396"/>
      <c r="T170" s="149">
        <f>O170</f>
        <v>0</v>
      </c>
      <c r="U170" s="149">
        <f t="shared" si="55"/>
        <v>0</v>
      </c>
    </row>
    <row r="171" spans="1:31" hidden="1" x14ac:dyDescent="0.25">
      <c r="A171" s="827"/>
      <c r="B171" s="27" t="s">
        <v>49</v>
      </c>
      <c r="C171" s="27" t="s">
        <v>44</v>
      </c>
      <c r="D171" s="19"/>
      <c r="E171" s="606"/>
      <c r="F171" s="606"/>
      <c r="G171" s="606"/>
      <c r="H171" s="444"/>
      <c r="I171" s="444"/>
      <c r="J171" s="395"/>
      <c r="K171" s="395"/>
      <c r="L171" s="395"/>
      <c r="M171" s="150"/>
      <c r="N171" s="395">
        <f>P171</f>
        <v>0</v>
      </c>
      <c r="O171" s="395"/>
      <c r="P171" s="395"/>
      <c r="Q171" s="395"/>
      <c r="R171" s="150"/>
      <c r="S171" s="396"/>
      <c r="T171" s="149"/>
      <c r="U171" s="149">
        <f>T171</f>
        <v>0</v>
      </c>
    </row>
    <row r="172" spans="1:31" ht="26.4" customHeight="1" x14ac:dyDescent="0.25">
      <c r="A172" s="828"/>
      <c r="B172" s="423" t="s">
        <v>50</v>
      </c>
      <c r="C172" s="423"/>
      <c r="D172" s="409"/>
      <c r="E172" s="609">
        <f>E143+E154+E160</f>
        <v>521</v>
      </c>
      <c r="F172" s="609">
        <f>F143+F154+F160</f>
        <v>513</v>
      </c>
      <c r="G172" s="757">
        <f>G143+G154+G160</f>
        <v>513</v>
      </c>
      <c r="H172" s="757">
        <f>H143+H154+H160</f>
        <v>513</v>
      </c>
      <c r="I172" s="757">
        <f>I143+I154+I160</f>
        <v>513</v>
      </c>
      <c r="J172" s="413"/>
      <c r="K172" s="413"/>
      <c r="L172" s="413"/>
      <c r="M172" s="153"/>
      <c r="N172" s="413">
        <f>SUM(O172:S172)</f>
        <v>74060164.659999996</v>
      </c>
      <c r="O172" s="153">
        <f>O143+O154+O160+O163+O170</f>
        <v>49232714.810000002</v>
      </c>
      <c r="P172" s="413">
        <f>P143+P154+P160+P163+P164+P165+P166+P168+P171</f>
        <v>9850891.9399999995</v>
      </c>
      <c r="Q172" s="413">
        <f>Q143+Q154+Q160+Q163+Q164+Q165+Q166</f>
        <v>0</v>
      </c>
      <c r="R172" s="645">
        <f>R143+R154+R160+R163+R164+R165+R166+R167</f>
        <v>14976557.91</v>
      </c>
      <c r="S172" s="422">
        <f>S143+S154+S160+S163+S164+S165+S166+S167</f>
        <v>0</v>
      </c>
      <c r="T172" s="422">
        <f>T143+T154+T160+T163+T164+T165+T166+T167+T168+T169+T170+T171</f>
        <v>69372944.659999996</v>
      </c>
      <c r="U172" s="422">
        <f>U143+U154+U160+U163+U164+U165+U166+U167+U168+U169+U170+U171</f>
        <v>69372944.659999996</v>
      </c>
      <c r="X172" s="25"/>
      <c r="AB172" s="25"/>
    </row>
    <row r="173" spans="1:31" ht="73.2" customHeight="1" x14ac:dyDescent="0.25">
      <c r="A173" s="826" t="s">
        <v>61</v>
      </c>
      <c r="B173" s="829" t="s">
        <v>112</v>
      </c>
      <c r="C173" s="22" t="s">
        <v>23</v>
      </c>
      <c r="D173" s="19" t="s">
        <v>24</v>
      </c>
      <c r="E173" s="415">
        <v>309</v>
      </c>
      <c r="F173" s="680">
        <f>309-7</f>
        <v>302</v>
      </c>
      <c r="G173" s="415">
        <f>283+19</f>
        <v>302</v>
      </c>
      <c r="H173" s="415">
        <f>283+19</f>
        <v>302</v>
      </c>
      <c r="I173" s="415">
        <f>283+19</f>
        <v>302</v>
      </c>
      <c r="J173" s="384">
        <f>SUM(K173:M173)</f>
        <v>81778.58</v>
      </c>
      <c r="K173" s="14">
        <f>36390.31+2198.86</f>
        <v>38589.17</v>
      </c>
      <c r="L173" s="14">
        <v>13995.34</v>
      </c>
      <c r="M173" s="478">
        <v>29194.07</v>
      </c>
      <c r="N173" s="427">
        <f>SUM(O173:R173)</f>
        <v>24697131.16</v>
      </c>
      <c r="O173" s="427">
        <f>G173*K173</f>
        <v>11653929.34</v>
      </c>
      <c r="P173" s="427">
        <f>G173*L173</f>
        <v>4226592.68</v>
      </c>
      <c r="Q173" s="427"/>
      <c r="R173" s="150">
        <f>G173*M173</f>
        <v>8816609.1400000006</v>
      </c>
      <c r="S173" s="149"/>
      <c r="T173" s="149">
        <f>W173</f>
        <v>24697131.16</v>
      </c>
      <c r="U173" s="149">
        <f>AB173</f>
        <v>24697131.16</v>
      </c>
      <c r="W173" s="449">
        <f>SUM(X173:AA173)</f>
        <v>24697131.16</v>
      </c>
      <c r="X173" s="395">
        <f>H173*K173</f>
        <v>11653929.34</v>
      </c>
      <c r="Y173" s="14">
        <f>H173*L173</f>
        <v>4226592.68</v>
      </c>
      <c r="Z173" s="395">
        <f>H173*M173</f>
        <v>8816609.1400000006</v>
      </c>
      <c r="AB173" s="449">
        <f>SUM(AC173:AF173)</f>
        <v>24697131.16</v>
      </c>
      <c r="AC173" s="395">
        <f>I173*K173</f>
        <v>11653929.34</v>
      </c>
      <c r="AD173" s="14">
        <f>I173*L173</f>
        <v>4226592.68</v>
      </c>
      <c r="AE173" s="395">
        <f>I173*M173</f>
        <v>8816609.1400000006</v>
      </c>
    </row>
    <row r="174" spans="1:31" ht="86.4" customHeight="1" x14ac:dyDescent="0.25">
      <c r="A174" s="827"/>
      <c r="B174" s="830"/>
      <c r="C174" s="22" t="s">
        <v>25</v>
      </c>
      <c r="D174" s="400" t="s">
        <v>24</v>
      </c>
      <c r="E174" s="10" t="s">
        <v>26</v>
      </c>
      <c r="F174" s="10" t="s">
        <v>26</v>
      </c>
      <c r="G174" s="11" t="s">
        <v>26</v>
      </c>
      <c r="H174" s="415" t="s">
        <v>26</v>
      </c>
      <c r="I174" s="415" t="s">
        <v>26</v>
      </c>
      <c r="J174" s="426" t="s">
        <v>26</v>
      </c>
      <c r="K174" s="426" t="s">
        <v>26</v>
      </c>
      <c r="L174" s="426" t="s">
        <v>26</v>
      </c>
      <c r="M174" s="415" t="s">
        <v>26</v>
      </c>
      <c r="N174" s="427"/>
      <c r="O174" s="427"/>
      <c r="P174" s="426" t="s">
        <v>26</v>
      </c>
      <c r="Q174" s="426"/>
      <c r="R174" s="415" t="s">
        <v>26</v>
      </c>
      <c r="S174" s="10"/>
      <c r="T174" s="149"/>
      <c r="U174" s="149"/>
      <c r="AB174" s="25"/>
    </row>
    <row r="175" spans="1:31" x14ac:dyDescent="0.25">
      <c r="A175" s="827"/>
      <c r="B175" s="830"/>
      <c r="C175" s="385" t="s">
        <v>27</v>
      </c>
      <c r="D175" s="400" t="s">
        <v>24</v>
      </c>
      <c r="E175" s="10"/>
      <c r="F175" s="10"/>
      <c r="G175" s="11"/>
      <c r="H175" s="11"/>
      <c r="I175" s="11"/>
      <c r="J175" s="150">
        <f t="shared" ref="J175:J181" si="59">K175</f>
        <v>148440.13</v>
      </c>
      <c r="K175" s="14">
        <v>148440.13</v>
      </c>
      <c r="L175" s="426" t="s">
        <v>26</v>
      </c>
      <c r="M175" s="415" t="s">
        <v>26</v>
      </c>
      <c r="N175" s="427">
        <f t="shared" ref="N175:N181" si="60">O175</f>
        <v>0</v>
      </c>
      <c r="O175" s="427">
        <f>G175*K175</f>
        <v>0</v>
      </c>
      <c r="P175" s="426" t="s">
        <v>26</v>
      </c>
      <c r="Q175" s="426"/>
      <c r="R175" s="415"/>
      <c r="S175" s="10"/>
      <c r="T175" s="149">
        <f t="shared" ref="T175:T181" si="61">H175*K175</f>
        <v>0</v>
      </c>
      <c r="U175" s="149">
        <f t="shared" ref="U175:U181" si="62">I175*K175</f>
        <v>0</v>
      </c>
      <c r="AB175" s="25"/>
    </row>
    <row r="176" spans="1:31" x14ac:dyDescent="0.25">
      <c r="A176" s="827"/>
      <c r="B176" s="830"/>
      <c r="C176" s="385" t="s">
        <v>28</v>
      </c>
      <c r="D176" s="400" t="s">
        <v>24</v>
      </c>
      <c r="E176" s="11">
        <f>16-2</f>
        <v>14</v>
      </c>
      <c r="F176" s="679">
        <f>16-3</f>
        <v>13</v>
      </c>
      <c r="G176" s="11">
        <f>13-1</f>
        <v>12</v>
      </c>
      <c r="H176" s="11">
        <v>12</v>
      </c>
      <c r="I176" s="11">
        <v>12</v>
      </c>
      <c r="J176" s="150">
        <f t="shared" si="59"/>
        <v>164394.18</v>
      </c>
      <c r="K176" s="14">
        <v>164394.18</v>
      </c>
      <c r="L176" s="426" t="s">
        <v>26</v>
      </c>
      <c r="M176" s="415" t="s">
        <v>26</v>
      </c>
      <c r="N176" s="427">
        <f t="shared" si="60"/>
        <v>1972730.16</v>
      </c>
      <c r="O176" s="427">
        <f t="shared" ref="O176:O181" si="63">G176*K176</f>
        <v>1972730.16</v>
      </c>
      <c r="P176" s="426" t="s">
        <v>26</v>
      </c>
      <c r="Q176" s="426"/>
      <c r="R176" s="415" t="s">
        <v>26</v>
      </c>
      <c r="S176" s="10"/>
      <c r="T176" s="149">
        <f t="shared" si="61"/>
        <v>1972730.16</v>
      </c>
      <c r="U176" s="149">
        <f t="shared" si="62"/>
        <v>1972730.16</v>
      </c>
      <c r="AB176" s="25"/>
    </row>
    <row r="177" spans="1:31" x14ac:dyDescent="0.25">
      <c r="A177" s="827"/>
      <c r="B177" s="830"/>
      <c r="C177" s="385" t="s">
        <v>29</v>
      </c>
      <c r="D177" s="400" t="s">
        <v>24</v>
      </c>
      <c r="E177" s="11"/>
      <c r="F177" s="679"/>
      <c r="G177" s="11"/>
      <c r="H177" s="11"/>
      <c r="I177" s="11"/>
      <c r="J177" s="150">
        <f t="shared" si="59"/>
        <v>196302.28</v>
      </c>
      <c r="K177" s="14">
        <v>196302.28</v>
      </c>
      <c r="L177" s="426" t="s">
        <v>26</v>
      </c>
      <c r="M177" s="415" t="s">
        <v>26</v>
      </c>
      <c r="N177" s="427">
        <f t="shared" si="60"/>
        <v>0</v>
      </c>
      <c r="O177" s="427">
        <f t="shared" si="63"/>
        <v>0</v>
      </c>
      <c r="P177" s="426"/>
      <c r="Q177" s="426"/>
      <c r="R177" s="415"/>
      <c r="S177" s="10"/>
      <c r="T177" s="149">
        <f>H177*K177</f>
        <v>0</v>
      </c>
      <c r="U177" s="149">
        <f t="shared" si="62"/>
        <v>0</v>
      </c>
    </row>
    <row r="178" spans="1:31" x14ac:dyDescent="0.25">
      <c r="A178" s="827"/>
      <c r="B178" s="830"/>
      <c r="C178" s="385" t="s">
        <v>30</v>
      </c>
      <c r="D178" s="400" t="s">
        <v>24</v>
      </c>
      <c r="E178" s="11">
        <f>11-2</f>
        <v>9</v>
      </c>
      <c r="F178" s="679">
        <f>11-5</f>
        <v>6</v>
      </c>
      <c r="G178" s="11">
        <f>9-3</f>
        <v>6</v>
      </c>
      <c r="H178" s="11">
        <v>6</v>
      </c>
      <c r="I178" s="11">
        <v>6</v>
      </c>
      <c r="J178" s="150">
        <f t="shared" si="59"/>
        <v>162574.21</v>
      </c>
      <c r="K178" s="150">
        <v>162574.21</v>
      </c>
      <c r="L178" s="426" t="s">
        <v>26</v>
      </c>
      <c r="M178" s="415" t="s">
        <v>26</v>
      </c>
      <c r="N178" s="427">
        <f t="shared" si="60"/>
        <v>975445.26</v>
      </c>
      <c r="O178" s="427">
        <f t="shared" si="63"/>
        <v>975445.26</v>
      </c>
      <c r="P178" s="426" t="s">
        <v>26</v>
      </c>
      <c r="Q178" s="426"/>
      <c r="R178" s="415" t="s">
        <v>26</v>
      </c>
      <c r="S178" s="10"/>
      <c r="T178" s="149">
        <f t="shared" si="61"/>
        <v>975445.26</v>
      </c>
      <c r="U178" s="149">
        <f t="shared" si="62"/>
        <v>975445.26</v>
      </c>
    </row>
    <row r="179" spans="1:31" x14ac:dyDescent="0.25">
      <c r="A179" s="827"/>
      <c r="B179" s="830"/>
      <c r="C179" s="385" t="s">
        <v>31</v>
      </c>
      <c r="D179" s="400" t="s">
        <v>24</v>
      </c>
      <c r="E179" s="445"/>
      <c r="F179" s="679">
        <v>1</v>
      </c>
      <c r="G179" s="11">
        <v>1</v>
      </c>
      <c r="H179" s="11">
        <v>1</v>
      </c>
      <c r="I179" s="11">
        <v>1</v>
      </c>
      <c r="J179" s="150">
        <f t="shared" si="59"/>
        <v>180348.22</v>
      </c>
      <c r="K179" s="150">
        <v>180348.22</v>
      </c>
      <c r="L179" s="426" t="s">
        <v>26</v>
      </c>
      <c r="M179" s="415" t="s">
        <v>26</v>
      </c>
      <c r="N179" s="427">
        <f t="shared" si="60"/>
        <v>180348.22</v>
      </c>
      <c r="O179" s="427">
        <f t="shared" si="63"/>
        <v>180348.22</v>
      </c>
      <c r="P179" s="426" t="s">
        <v>26</v>
      </c>
      <c r="Q179" s="426"/>
      <c r="R179" s="415" t="s">
        <v>26</v>
      </c>
      <c r="S179" s="10"/>
      <c r="T179" s="149">
        <f t="shared" si="61"/>
        <v>180348.22</v>
      </c>
      <c r="U179" s="149">
        <f t="shared" si="62"/>
        <v>180348.22</v>
      </c>
    </row>
    <row r="180" spans="1:31" x14ac:dyDescent="0.25">
      <c r="A180" s="827"/>
      <c r="B180" s="830"/>
      <c r="C180" s="385" t="s">
        <v>33</v>
      </c>
      <c r="D180" s="400" t="s">
        <v>24</v>
      </c>
      <c r="E180" s="10"/>
      <c r="F180" s="10"/>
      <c r="G180" s="11"/>
      <c r="H180" s="415"/>
      <c r="I180" s="415"/>
      <c r="J180" s="150">
        <f t="shared" si="59"/>
        <v>202178.64</v>
      </c>
      <c r="K180" s="150">
        <v>202178.64</v>
      </c>
      <c r="L180" s="426" t="s">
        <v>26</v>
      </c>
      <c r="M180" s="415" t="s">
        <v>26</v>
      </c>
      <c r="N180" s="427">
        <f t="shared" si="60"/>
        <v>0</v>
      </c>
      <c r="O180" s="427">
        <f t="shared" si="63"/>
        <v>0</v>
      </c>
      <c r="P180" s="426" t="s">
        <v>26</v>
      </c>
      <c r="Q180" s="426"/>
      <c r="R180" s="415" t="s">
        <v>26</v>
      </c>
      <c r="S180" s="10"/>
      <c r="T180" s="149">
        <f t="shared" si="61"/>
        <v>0</v>
      </c>
      <c r="U180" s="149">
        <f t="shared" si="62"/>
        <v>0</v>
      </c>
    </row>
    <row r="181" spans="1:31" x14ac:dyDescent="0.25">
      <c r="A181" s="827"/>
      <c r="B181" s="830"/>
      <c r="C181" s="385" t="s">
        <v>34</v>
      </c>
      <c r="D181" s="400" t="s">
        <v>24</v>
      </c>
      <c r="E181" s="10"/>
      <c r="F181" s="10"/>
      <c r="G181" s="11"/>
      <c r="H181" s="415"/>
      <c r="I181" s="415"/>
      <c r="J181" s="150">
        <f t="shared" si="59"/>
        <v>146900.85999999999</v>
      </c>
      <c r="K181" s="150">
        <v>146900.85999999999</v>
      </c>
      <c r="L181" s="426" t="s">
        <v>26</v>
      </c>
      <c r="M181" s="415" t="s">
        <v>26</v>
      </c>
      <c r="N181" s="427">
        <f t="shared" si="60"/>
        <v>0</v>
      </c>
      <c r="O181" s="427">
        <f t="shared" si="63"/>
        <v>0</v>
      </c>
      <c r="P181" s="426" t="s">
        <v>26</v>
      </c>
      <c r="Q181" s="426"/>
      <c r="R181" s="415" t="s">
        <v>26</v>
      </c>
      <c r="S181" s="10"/>
      <c r="T181" s="149">
        <f t="shared" si="61"/>
        <v>0</v>
      </c>
      <c r="U181" s="149">
        <f t="shared" si="62"/>
        <v>0</v>
      </c>
    </row>
    <row r="182" spans="1:31" ht="82.95" customHeight="1" x14ac:dyDescent="0.25">
      <c r="A182" s="827"/>
      <c r="B182" s="830"/>
      <c r="C182" s="405" t="s">
        <v>35</v>
      </c>
      <c r="D182" s="19" t="s">
        <v>24</v>
      </c>
      <c r="E182" s="415">
        <v>1</v>
      </c>
      <c r="F182" s="680">
        <v>1</v>
      </c>
      <c r="G182" s="415">
        <v>1</v>
      </c>
      <c r="H182" s="415">
        <v>1</v>
      </c>
      <c r="I182" s="415">
        <v>1</v>
      </c>
      <c r="J182" s="150">
        <f>SUM(K182:M182)</f>
        <v>490504.84</v>
      </c>
      <c r="K182" s="150">
        <f>445116.57+2198.86</f>
        <v>447315.43</v>
      </c>
      <c r="L182" s="14">
        <v>13995.34</v>
      </c>
      <c r="M182" s="478">
        <v>29194.07</v>
      </c>
      <c r="N182" s="429">
        <f>SUM(O182:R182)</f>
        <v>490504.84</v>
      </c>
      <c r="O182" s="429">
        <f>G182*K182</f>
        <v>447315.43</v>
      </c>
      <c r="P182" s="642">
        <f>G182*L182</f>
        <v>13995.34</v>
      </c>
      <c r="Q182" s="429"/>
      <c r="R182" s="150">
        <f>G182*M182</f>
        <v>29194.07</v>
      </c>
      <c r="S182" s="149"/>
      <c r="T182" s="149">
        <f>W182</f>
        <v>490504.84</v>
      </c>
      <c r="U182" s="149">
        <f>AB182</f>
        <v>490504.84</v>
      </c>
      <c r="W182" s="449">
        <f>SUM(X182:AA182)</f>
        <v>490504.84</v>
      </c>
      <c r="X182" s="395">
        <f>H182*K182</f>
        <v>447315.43</v>
      </c>
      <c r="Y182" s="14">
        <f>H182*L182</f>
        <v>13995.34</v>
      </c>
      <c r="Z182" s="395">
        <f>H182*M182</f>
        <v>29194.07</v>
      </c>
      <c r="AB182" s="449">
        <f>SUM(AC182:AF182)</f>
        <v>490504.84</v>
      </c>
      <c r="AC182" s="395">
        <f>I182*K182</f>
        <v>447315.43</v>
      </c>
      <c r="AD182" s="14">
        <f>I182*L182</f>
        <v>13995.34</v>
      </c>
      <c r="AE182" s="395">
        <f>I182*M182</f>
        <v>29194.07</v>
      </c>
    </row>
    <row r="183" spans="1:31" ht="82.95" customHeight="1" x14ac:dyDescent="0.25">
      <c r="A183" s="827"/>
      <c r="B183" s="830"/>
      <c r="C183" s="405" t="s">
        <v>62</v>
      </c>
      <c r="D183" s="19" t="s">
        <v>24</v>
      </c>
      <c r="E183" s="11">
        <v>0</v>
      </c>
      <c r="F183" s="11">
        <v>0</v>
      </c>
      <c r="G183" s="11">
        <v>0</v>
      </c>
      <c r="H183" s="415">
        <v>0</v>
      </c>
      <c r="I183" s="415">
        <v>0</v>
      </c>
      <c r="J183" s="150">
        <f>K183</f>
        <v>39242.36</v>
      </c>
      <c r="K183" s="150">
        <v>39242.36</v>
      </c>
      <c r="L183" s="150" t="s">
        <v>26</v>
      </c>
      <c r="M183" s="150" t="s">
        <v>26</v>
      </c>
      <c r="N183" s="429">
        <f>SUM(O183:R183)</f>
        <v>0</v>
      </c>
      <c r="O183" s="429">
        <f>G183*K183</f>
        <v>0</v>
      </c>
      <c r="P183" s="429"/>
      <c r="Q183" s="429"/>
      <c r="R183" s="14"/>
      <c r="S183" s="430"/>
      <c r="T183" s="149">
        <f>H183*J183</f>
        <v>0</v>
      </c>
      <c r="U183" s="149">
        <f>I183*J183</f>
        <v>0</v>
      </c>
      <c r="AB183" s="25"/>
    </row>
    <row r="184" spans="1:31" ht="21" customHeight="1" x14ac:dyDescent="0.25">
      <c r="A184" s="827"/>
      <c r="B184" s="830"/>
      <c r="C184" s="419" t="s">
        <v>58</v>
      </c>
      <c r="D184" s="19" t="s">
        <v>59</v>
      </c>
      <c r="E184" s="11">
        <v>12</v>
      </c>
      <c r="F184" s="11">
        <v>12</v>
      </c>
      <c r="G184" s="11">
        <v>12</v>
      </c>
      <c r="H184" s="415">
        <v>12</v>
      </c>
      <c r="I184" s="415">
        <v>12</v>
      </c>
      <c r="J184" s="150">
        <f>K184</f>
        <v>234360</v>
      </c>
      <c r="K184" s="150">
        <f>10000*1.5*1.302*12</f>
        <v>234360</v>
      </c>
      <c r="L184" s="150"/>
      <c r="M184" s="150"/>
      <c r="N184" s="478">
        <f>SUM(O184:R184)</f>
        <v>2812320</v>
      </c>
      <c r="O184" s="14">
        <f>G184*K184</f>
        <v>2812320</v>
      </c>
      <c r="P184" s="429"/>
      <c r="Q184" s="429"/>
      <c r="R184" s="14"/>
      <c r="S184" s="430"/>
      <c r="T184" s="149">
        <f>H184*K184-2812320</f>
        <v>0</v>
      </c>
      <c r="U184" s="149">
        <f>I184*K184-2812320</f>
        <v>0</v>
      </c>
      <c r="AB184" s="25"/>
    </row>
    <row r="185" spans="1:31" ht="26.4" customHeight="1" x14ac:dyDescent="0.25">
      <c r="A185" s="827"/>
      <c r="B185" s="831"/>
      <c r="C185" s="420" t="s">
        <v>38</v>
      </c>
      <c r="D185" s="19" t="s">
        <v>24</v>
      </c>
      <c r="E185" s="613">
        <f>E173+E182</f>
        <v>310</v>
      </c>
      <c r="F185" s="686">
        <f>F173+F182</f>
        <v>303</v>
      </c>
      <c r="G185" s="760">
        <f>G173+G182</f>
        <v>303</v>
      </c>
      <c r="H185" s="760">
        <f>H173+H182</f>
        <v>303</v>
      </c>
      <c r="I185" s="760">
        <f>I173+I182</f>
        <v>303</v>
      </c>
      <c r="J185" s="429" t="s">
        <v>26</v>
      </c>
      <c r="K185" s="429" t="s">
        <v>26</v>
      </c>
      <c r="L185" s="429" t="s">
        <v>26</v>
      </c>
      <c r="M185" s="14" t="s">
        <v>26</v>
      </c>
      <c r="N185" s="431">
        <f>SUM(N173:N184)</f>
        <v>31128479.640000001</v>
      </c>
      <c r="O185" s="431">
        <f t="shared" ref="O185:U185" si="64">SUM(O173:O184)</f>
        <v>18042088.41</v>
      </c>
      <c r="P185" s="431">
        <f t="shared" si="64"/>
        <v>4240588.0199999996</v>
      </c>
      <c r="Q185" s="431">
        <f t="shared" si="64"/>
        <v>0</v>
      </c>
      <c r="R185" s="772">
        <f t="shared" si="64"/>
        <v>8845803.2100000009</v>
      </c>
      <c r="S185" s="431">
        <f t="shared" si="64"/>
        <v>0</v>
      </c>
      <c r="T185" s="431">
        <f t="shared" si="64"/>
        <v>28316159.640000001</v>
      </c>
      <c r="U185" s="431">
        <f t="shared" si="64"/>
        <v>28316159.640000001</v>
      </c>
      <c r="AA185" s="25"/>
    </row>
    <row r="186" spans="1:31" ht="82.95" customHeight="1" x14ac:dyDescent="0.25">
      <c r="A186" s="827"/>
      <c r="B186" s="829" t="s">
        <v>438</v>
      </c>
      <c r="C186" s="22" t="s">
        <v>23</v>
      </c>
      <c r="D186" s="19" t="s">
        <v>24</v>
      </c>
      <c r="E186" s="690">
        <f>194+28</f>
        <v>222</v>
      </c>
      <c r="F186" s="679">
        <f>194-15</f>
        <v>179</v>
      </c>
      <c r="G186" s="11">
        <f>235+2</f>
        <v>237</v>
      </c>
      <c r="H186" s="11">
        <f>235+2</f>
        <v>237</v>
      </c>
      <c r="I186" s="11">
        <f>235+2</f>
        <v>237</v>
      </c>
      <c r="J186" s="384">
        <f>SUM(K186:M186)</f>
        <v>100085.3</v>
      </c>
      <c r="K186" s="14">
        <f>54145.32+2750.57</f>
        <v>56895.89</v>
      </c>
      <c r="L186" s="14">
        <v>13995.34</v>
      </c>
      <c r="M186" s="478">
        <v>29194.07</v>
      </c>
      <c r="N186" s="429">
        <f>SUM(O186:R186)</f>
        <v>23720216.100000001</v>
      </c>
      <c r="O186" s="429">
        <f>G186*K186</f>
        <v>13484325.93</v>
      </c>
      <c r="P186" s="642">
        <f>G186*L186</f>
        <v>3316895.58</v>
      </c>
      <c r="Q186" s="429"/>
      <c r="R186" s="150">
        <f>G186*M186</f>
        <v>6918994.5899999999</v>
      </c>
      <c r="S186" s="149"/>
      <c r="T186" s="149">
        <f>W186</f>
        <v>23720216.100000001</v>
      </c>
      <c r="U186" s="149">
        <f>AB186</f>
        <v>23720216.100000001</v>
      </c>
      <c r="W186" s="449">
        <f>SUM(X186:AA186)</f>
        <v>23720216.100000001</v>
      </c>
      <c r="X186" s="395">
        <f>H186*K186</f>
        <v>13484325.93</v>
      </c>
      <c r="Y186" s="14">
        <f>H186*L186</f>
        <v>3316895.58</v>
      </c>
      <c r="Z186" s="395">
        <f>H186*M186</f>
        <v>6918994.5899999999</v>
      </c>
      <c r="AB186" s="449">
        <f>SUM(AC186:AF186)</f>
        <v>23720216.100000001</v>
      </c>
      <c r="AC186" s="395">
        <f>I186*K186</f>
        <v>13484325.93</v>
      </c>
      <c r="AD186" s="14">
        <f>I186*L186</f>
        <v>3316895.58</v>
      </c>
      <c r="AE186" s="395">
        <f>I186*M186</f>
        <v>6918994.5899999999</v>
      </c>
    </row>
    <row r="187" spans="1:31" ht="96.6" x14ac:dyDescent="0.25">
      <c r="A187" s="827"/>
      <c r="B187" s="830"/>
      <c r="C187" s="22" t="s">
        <v>63</v>
      </c>
      <c r="D187" s="19" t="s">
        <v>24</v>
      </c>
      <c r="E187" s="689">
        <f>182-29-60</f>
        <v>93</v>
      </c>
      <c r="F187" s="687">
        <f>182+16-60</f>
        <v>138</v>
      </c>
      <c r="G187" s="745">
        <f>141-60</f>
        <v>81</v>
      </c>
      <c r="H187" s="745">
        <f>141-60</f>
        <v>81</v>
      </c>
      <c r="I187" s="745">
        <f>141-60</f>
        <v>81</v>
      </c>
      <c r="J187" s="384">
        <f>SUM(K187:M187)</f>
        <v>106068.6</v>
      </c>
      <c r="K187" s="14">
        <f>60128.62+2750.57</f>
        <v>62879.19</v>
      </c>
      <c r="L187" s="14">
        <v>13995.34</v>
      </c>
      <c r="M187" s="478">
        <v>29194.07</v>
      </c>
      <c r="N187" s="429">
        <f>SUM(O187:R187)</f>
        <v>8591556.5999999996</v>
      </c>
      <c r="O187" s="429">
        <f>G187*K187</f>
        <v>5093214.3899999997</v>
      </c>
      <c r="P187" s="642">
        <f>G187*L187</f>
        <v>1133622.54</v>
      </c>
      <c r="Q187" s="429"/>
      <c r="R187" s="150">
        <f>G187*M187</f>
        <v>2364719.67</v>
      </c>
      <c r="S187" s="149"/>
      <c r="T187" s="149">
        <f>W187</f>
        <v>8591556.5999999996</v>
      </c>
      <c r="U187" s="149">
        <f>AB187</f>
        <v>8591556.5999999996</v>
      </c>
      <c r="W187" s="449">
        <f>SUM(X187:AA187)</f>
        <v>8591556.5999999996</v>
      </c>
      <c r="X187" s="395">
        <f>H187*K187</f>
        <v>5093214.3899999997</v>
      </c>
      <c r="Y187" s="14">
        <f>H187*L187</f>
        <v>1133622.54</v>
      </c>
      <c r="Z187" s="395">
        <f>H187*M187</f>
        <v>2364719.67</v>
      </c>
      <c r="AB187" s="449">
        <f>SUM(AC187:AF187)</f>
        <v>8591556.5999999996</v>
      </c>
      <c r="AC187" s="395">
        <f>I187*K187</f>
        <v>5093214.3899999997</v>
      </c>
      <c r="AD187" s="14">
        <f>I187*L187</f>
        <v>1133622.54</v>
      </c>
      <c r="AE187" s="395">
        <f>I187*M187</f>
        <v>2364719.67</v>
      </c>
    </row>
    <row r="188" spans="1:31" ht="96.6" x14ac:dyDescent="0.25">
      <c r="A188" s="827"/>
      <c r="B188" s="830"/>
      <c r="C188" s="604" t="s">
        <v>589</v>
      </c>
      <c r="D188" s="19"/>
      <c r="E188" s="689">
        <v>60</v>
      </c>
      <c r="F188" s="687">
        <v>60</v>
      </c>
      <c r="G188" s="745">
        <v>60</v>
      </c>
      <c r="H188" s="745">
        <v>60</v>
      </c>
      <c r="I188" s="745">
        <v>60</v>
      </c>
      <c r="J188" s="384">
        <f>SUM(K188:M188)</f>
        <v>172126.05</v>
      </c>
      <c r="K188" s="14">
        <f>126186.07+2750.57</f>
        <v>128936.64</v>
      </c>
      <c r="L188" s="14">
        <v>13995.34</v>
      </c>
      <c r="M188" s="478">
        <v>29194.07</v>
      </c>
      <c r="N188" s="783">
        <f>SUM(O188:R188)</f>
        <v>10327563</v>
      </c>
      <c r="O188" s="783">
        <f>G188*K188</f>
        <v>7736198.4000000004</v>
      </c>
      <c r="P188" s="783">
        <f>G188*L188</f>
        <v>839720.4</v>
      </c>
      <c r="Q188" s="783"/>
      <c r="R188" s="150">
        <f>G188*M188</f>
        <v>1751644.2</v>
      </c>
      <c r="S188" s="149"/>
      <c r="T188" s="149">
        <f>W188</f>
        <v>10327563</v>
      </c>
      <c r="U188" s="149">
        <f>AB188</f>
        <v>10327563</v>
      </c>
      <c r="W188" s="449">
        <f>SUM(X188:AA188)</f>
        <v>10327563</v>
      </c>
      <c r="X188" s="395">
        <f>H188*K188</f>
        <v>7736198.4000000004</v>
      </c>
      <c r="Y188" s="14">
        <f>H188*L188</f>
        <v>839720.4</v>
      </c>
      <c r="Z188" s="395">
        <f>H188*M188</f>
        <v>1751644.2</v>
      </c>
      <c r="AB188" s="449">
        <f>SUM(AC188:AF188)</f>
        <v>10327563</v>
      </c>
      <c r="AC188" s="395">
        <f>I188*K188</f>
        <v>7736198.4000000004</v>
      </c>
      <c r="AD188" s="14">
        <f>I188*L188</f>
        <v>839720.4</v>
      </c>
      <c r="AE188" s="395">
        <f>I188*M188</f>
        <v>1751644.2</v>
      </c>
    </row>
    <row r="189" spans="1:31" ht="82.8" x14ac:dyDescent="0.25">
      <c r="A189" s="827"/>
      <c r="B189" s="830"/>
      <c r="C189" s="405" t="s">
        <v>39</v>
      </c>
      <c r="D189" s="19" t="s">
        <v>24</v>
      </c>
      <c r="E189" s="10" t="s">
        <v>26</v>
      </c>
      <c r="F189" s="10" t="s">
        <v>26</v>
      </c>
      <c r="G189" s="11" t="s">
        <v>26</v>
      </c>
      <c r="H189" s="415" t="s">
        <v>26</v>
      </c>
      <c r="I189" s="415" t="s">
        <v>26</v>
      </c>
      <c r="J189" s="426" t="s">
        <v>26</v>
      </c>
      <c r="K189" s="426" t="s">
        <v>26</v>
      </c>
      <c r="L189" s="426" t="s">
        <v>26</v>
      </c>
      <c r="M189" s="415" t="s">
        <v>26</v>
      </c>
      <c r="N189" s="427"/>
      <c r="O189" s="427"/>
      <c r="P189" s="426" t="s">
        <v>26</v>
      </c>
      <c r="Q189" s="426"/>
      <c r="R189" s="415" t="s">
        <v>26</v>
      </c>
      <c r="S189" s="10"/>
      <c r="T189" s="149"/>
      <c r="U189" s="149"/>
      <c r="AB189" s="25"/>
    </row>
    <row r="190" spans="1:31" x14ac:dyDescent="0.25">
      <c r="A190" s="827"/>
      <c r="B190" s="830"/>
      <c r="C190" s="385" t="s">
        <v>57</v>
      </c>
      <c r="D190" s="19" t="s">
        <v>24</v>
      </c>
      <c r="E190" s="411"/>
      <c r="F190" s="411"/>
      <c r="G190" s="11"/>
      <c r="H190" s="444"/>
      <c r="I190" s="444"/>
      <c r="J190" s="150">
        <f>K190</f>
        <v>87898.44</v>
      </c>
      <c r="K190" s="150">
        <v>87898.44</v>
      </c>
      <c r="L190" s="426" t="s">
        <v>26</v>
      </c>
      <c r="M190" s="415" t="s">
        <v>26</v>
      </c>
      <c r="N190" s="427">
        <f>O190</f>
        <v>0</v>
      </c>
      <c r="O190" s="427">
        <f>G190*K190</f>
        <v>0</v>
      </c>
      <c r="P190" s="426" t="s">
        <v>26</v>
      </c>
      <c r="Q190" s="426"/>
      <c r="R190" s="415" t="s">
        <v>26</v>
      </c>
      <c r="S190" s="10"/>
      <c r="T190" s="149">
        <f>H190*K190</f>
        <v>0</v>
      </c>
      <c r="U190" s="149">
        <f>I190*K190</f>
        <v>0</v>
      </c>
      <c r="AB190" s="25"/>
    </row>
    <row r="191" spans="1:31" x14ac:dyDescent="0.25">
      <c r="A191" s="827"/>
      <c r="B191" s="830"/>
      <c r="C191" s="385" t="s">
        <v>27</v>
      </c>
      <c r="D191" s="19" t="s">
        <v>24</v>
      </c>
      <c r="E191" s="606">
        <v>0</v>
      </c>
      <c r="F191" s="606">
        <f>1-1</f>
        <v>0</v>
      </c>
      <c r="G191" s="11">
        <v>0</v>
      </c>
      <c r="H191" s="606">
        <f>1-1</f>
        <v>0</v>
      </c>
      <c r="I191" s="606">
        <f>1-1</f>
        <v>0</v>
      </c>
      <c r="J191" s="150">
        <f>K191</f>
        <v>71944.38</v>
      </c>
      <c r="K191" s="150">
        <v>71944.38</v>
      </c>
      <c r="L191" s="426" t="s">
        <v>26</v>
      </c>
      <c r="M191" s="415" t="s">
        <v>26</v>
      </c>
      <c r="N191" s="427">
        <f>O191</f>
        <v>0</v>
      </c>
      <c r="O191" s="427">
        <f t="shared" ref="O191:O193" si="65">G191*K191</f>
        <v>0</v>
      </c>
      <c r="P191" s="426" t="s">
        <v>26</v>
      </c>
      <c r="Q191" s="426"/>
      <c r="R191" s="415" t="s">
        <v>26</v>
      </c>
      <c r="S191" s="10"/>
      <c r="T191" s="149">
        <f>H191*K191</f>
        <v>0</v>
      </c>
      <c r="U191" s="149">
        <f>I191*K191</f>
        <v>0</v>
      </c>
      <c r="AB191" s="25"/>
    </row>
    <row r="192" spans="1:31" x14ac:dyDescent="0.25">
      <c r="A192" s="827"/>
      <c r="B192" s="830"/>
      <c r="C192" s="385" t="s">
        <v>31</v>
      </c>
      <c r="D192" s="19" t="s">
        <v>24</v>
      </c>
      <c r="E192" s="606">
        <v>1</v>
      </c>
      <c r="F192" s="683">
        <v>1</v>
      </c>
      <c r="G192" s="11">
        <v>1</v>
      </c>
      <c r="H192" s="606">
        <v>1</v>
      </c>
      <c r="I192" s="606">
        <v>1</v>
      </c>
      <c r="J192" s="150">
        <f>K192</f>
        <v>310708.38</v>
      </c>
      <c r="K192" s="150">
        <v>310708.38</v>
      </c>
      <c r="L192" s="426" t="s">
        <v>26</v>
      </c>
      <c r="M192" s="415" t="s">
        <v>26</v>
      </c>
      <c r="N192" s="427">
        <f>O192</f>
        <v>310708.38</v>
      </c>
      <c r="O192" s="427">
        <f t="shared" si="65"/>
        <v>310708.38</v>
      </c>
      <c r="P192" s="426" t="s">
        <v>26</v>
      </c>
      <c r="Q192" s="426"/>
      <c r="R192" s="415" t="s">
        <v>26</v>
      </c>
      <c r="S192" s="10"/>
      <c r="T192" s="149">
        <f>H192*K192</f>
        <v>310708.38</v>
      </c>
      <c r="U192" s="149">
        <f>I192*K192</f>
        <v>310708.38</v>
      </c>
    </row>
    <row r="193" spans="1:31" x14ac:dyDescent="0.25">
      <c r="A193" s="827"/>
      <c r="B193" s="830"/>
      <c r="C193" s="562" t="s">
        <v>34</v>
      </c>
      <c r="D193" s="19" t="s">
        <v>24</v>
      </c>
      <c r="E193" s="606">
        <v>1</v>
      </c>
      <c r="F193" s="683">
        <v>1</v>
      </c>
      <c r="G193" s="11">
        <v>1</v>
      </c>
      <c r="H193" s="606">
        <v>1</v>
      </c>
      <c r="I193" s="606">
        <v>1</v>
      </c>
      <c r="J193" s="150">
        <f>K193</f>
        <v>18697.54</v>
      </c>
      <c r="K193" s="150">
        <v>18697.54</v>
      </c>
      <c r="L193" s="426" t="s">
        <v>26</v>
      </c>
      <c r="M193" s="415" t="s">
        <v>26</v>
      </c>
      <c r="N193" s="427">
        <f>O193</f>
        <v>18697.54</v>
      </c>
      <c r="O193" s="427">
        <f t="shared" si="65"/>
        <v>18697.54</v>
      </c>
      <c r="P193" s="426" t="s">
        <v>26</v>
      </c>
      <c r="Q193" s="426"/>
      <c r="R193" s="415" t="s">
        <v>26</v>
      </c>
      <c r="S193" s="10"/>
      <c r="T193" s="149">
        <f>H193*K193</f>
        <v>18697.54</v>
      </c>
      <c r="U193" s="149">
        <f>I193*K193</f>
        <v>18697.54</v>
      </c>
      <c r="AB193" s="25"/>
    </row>
    <row r="194" spans="1:31" ht="82.95" customHeight="1" x14ac:dyDescent="0.25">
      <c r="A194" s="827"/>
      <c r="B194" s="830"/>
      <c r="C194" s="405" t="s">
        <v>35</v>
      </c>
      <c r="D194" s="19" t="s">
        <v>24</v>
      </c>
      <c r="E194" s="606">
        <v>1</v>
      </c>
      <c r="F194" s="683">
        <v>1</v>
      </c>
      <c r="G194" s="11">
        <v>0</v>
      </c>
      <c r="H194" s="444">
        <v>0</v>
      </c>
      <c r="I194" s="444">
        <v>0</v>
      </c>
      <c r="J194" s="150">
        <f>SUM(K194:M194)</f>
        <v>547669.80000000005</v>
      </c>
      <c r="K194" s="150">
        <f>501729.82+2750.57</f>
        <v>504480.39</v>
      </c>
      <c r="L194" s="14">
        <v>13995.34</v>
      </c>
      <c r="M194" s="478">
        <v>29194.07</v>
      </c>
      <c r="N194" s="395">
        <f>SUM(O194:R194)</f>
        <v>0</v>
      </c>
      <c r="O194" s="427">
        <f>G194*K194</f>
        <v>0</v>
      </c>
      <c r="P194" s="642">
        <f>G194*L194</f>
        <v>0</v>
      </c>
      <c r="Q194" s="395"/>
      <c r="R194" s="150">
        <f>G194*M194</f>
        <v>0</v>
      </c>
      <c r="S194" s="396"/>
      <c r="T194" s="149">
        <f>N194</f>
        <v>0</v>
      </c>
      <c r="U194" s="149">
        <f>T194</f>
        <v>0</v>
      </c>
    </row>
    <row r="195" spans="1:31" ht="82.95" customHeight="1" x14ac:dyDescent="0.25">
      <c r="A195" s="827"/>
      <c r="B195" s="830"/>
      <c r="C195" s="405" t="s">
        <v>62</v>
      </c>
      <c r="D195" s="19" t="s">
        <v>24</v>
      </c>
      <c r="E195" s="606">
        <v>0</v>
      </c>
      <c r="F195" s="606">
        <v>0</v>
      </c>
      <c r="G195" s="11">
        <v>0</v>
      </c>
      <c r="H195" s="444">
        <v>0</v>
      </c>
      <c r="I195" s="444">
        <v>0</v>
      </c>
      <c r="J195" s="150">
        <f>K195</f>
        <v>55400.98</v>
      </c>
      <c r="K195" s="150">
        <v>55400.98</v>
      </c>
      <c r="L195" s="150" t="s">
        <v>26</v>
      </c>
      <c r="M195" s="150" t="s">
        <v>26</v>
      </c>
      <c r="N195" s="395">
        <f>SUM(O195:R195)</f>
        <v>0</v>
      </c>
      <c r="O195" s="427">
        <f>G195*K195</f>
        <v>0</v>
      </c>
      <c r="P195" s="395"/>
      <c r="Q195" s="395"/>
      <c r="R195" s="150"/>
      <c r="S195" s="396"/>
      <c r="T195" s="149">
        <f>H195*J195</f>
        <v>0</v>
      </c>
      <c r="U195" s="149">
        <f>I195*J195</f>
        <v>0</v>
      </c>
    </row>
    <row r="196" spans="1:31" ht="13.95" customHeight="1" x14ac:dyDescent="0.25">
      <c r="A196" s="827"/>
      <c r="B196" s="830"/>
      <c r="C196" s="416" t="s">
        <v>58</v>
      </c>
      <c r="D196" s="19" t="s">
        <v>59</v>
      </c>
      <c r="E196" s="606">
        <v>15</v>
      </c>
      <c r="F196" s="606">
        <v>15</v>
      </c>
      <c r="G196" s="11">
        <v>15</v>
      </c>
      <c r="H196" s="444">
        <v>15</v>
      </c>
      <c r="I196" s="444">
        <v>15</v>
      </c>
      <c r="J196" s="150">
        <f>K196</f>
        <v>234360</v>
      </c>
      <c r="K196" s="150">
        <f>10000*1.5*1.302*12</f>
        <v>234360</v>
      </c>
      <c r="L196" s="150"/>
      <c r="M196" s="150"/>
      <c r="N196" s="449">
        <f>SUM(O196:R196)</f>
        <v>3515400</v>
      </c>
      <c r="O196" s="14">
        <f>G196*K196</f>
        <v>3515400</v>
      </c>
      <c r="P196" s="395"/>
      <c r="Q196" s="395"/>
      <c r="R196" s="150"/>
      <c r="S196" s="396"/>
      <c r="T196" s="149">
        <f>H196*K196-3515400</f>
        <v>0</v>
      </c>
      <c r="U196" s="149">
        <f>I196*K196-3515400</f>
        <v>0</v>
      </c>
    </row>
    <row r="197" spans="1:31" ht="31.95" customHeight="1" x14ac:dyDescent="0.25">
      <c r="A197" s="827"/>
      <c r="B197" s="831"/>
      <c r="C197" s="420" t="s">
        <v>38</v>
      </c>
      <c r="D197" s="19"/>
      <c r="E197" s="616">
        <f>E186++E187+E194</f>
        <v>316</v>
      </c>
      <c r="F197" s="688">
        <f>F186++F187+F194</f>
        <v>318</v>
      </c>
      <c r="G197" s="761">
        <f>G186+G187+G188+G194</f>
        <v>378</v>
      </c>
      <c r="H197" s="761">
        <f>H186+H187+H188+H194</f>
        <v>378</v>
      </c>
      <c r="I197" s="761">
        <f>I186+I187+I188+I194</f>
        <v>378</v>
      </c>
      <c r="J197" s="395" t="s">
        <v>26</v>
      </c>
      <c r="K197" s="395" t="s">
        <v>26</v>
      </c>
      <c r="L197" s="395" t="s">
        <v>26</v>
      </c>
      <c r="M197" s="150" t="s">
        <v>26</v>
      </c>
      <c r="N197" s="153">
        <f>SUM(N186:N196)</f>
        <v>46484141.619999997</v>
      </c>
      <c r="O197" s="153">
        <f t="shared" ref="O197:U197" si="66">SUM(O186:O196)</f>
        <v>30158544.640000001</v>
      </c>
      <c r="P197" s="153">
        <f t="shared" si="66"/>
        <v>5290238.5199999996</v>
      </c>
      <c r="Q197" s="153">
        <f t="shared" si="66"/>
        <v>0</v>
      </c>
      <c r="R197" s="645">
        <f t="shared" si="66"/>
        <v>11035358.460000001</v>
      </c>
      <c r="S197" s="153">
        <f t="shared" si="66"/>
        <v>0</v>
      </c>
      <c r="T197" s="153">
        <f t="shared" si="66"/>
        <v>42968741.619999997</v>
      </c>
      <c r="U197" s="153">
        <f t="shared" si="66"/>
        <v>42968741.619999997</v>
      </c>
      <c r="AA197" s="25"/>
    </row>
    <row r="198" spans="1:31" ht="73.2" customHeight="1" x14ac:dyDescent="0.25">
      <c r="A198" s="827"/>
      <c r="B198" s="829" t="s">
        <v>314</v>
      </c>
      <c r="C198" s="22" t="s">
        <v>23</v>
      </c>
      <c r="D198" s="19" t="s">
        <v>24</v>
      </c>
      <c r="E198" s="444">
        <f>44</f>
        <v>44</v>
      </c>
      <c r="F198" s="691">
        <f>44+12</f>
        <v>56</v>
      </c>
      <c r="G198" s="415">
        <f>56</f>
        <v>56</v>
      </c>
      <c r="H198" s="415">
        <f>56</f>
        <v>56</v>
      </c>
      <c r="I198" s="415">
        <f>56</f>
        <v>56</v>
      </c>
      <c r="J198" s="384">
        <f>SUM(K198:M198)</f>
        <v>116060.92</v>
      </c>
      <c r="K198" s="14">
        <f>70145.11+2726.4</f>
        <v>72871.509999999995</v>
      </c>
      <c r="L198" s="14">
        <v>13995.34</v>
      </c>
      <c r="M198" s="478">
        <v>29194.07</v>
      </c>
      <c r="N198" s="395">
        <f>SUM(O198:R198)</f>
        <v>6499411.5199999996</v>
      </c>
      <c r="O198" s="395">
        <f>G198*K198</f>
        <v>4080804.56</v>
      </c>
      <c r="P198" s="642">
        <f>G198*L198</f>
        <v>783739.04</v>
      </c>
      <c r="Q198" s="395"/>
      <c r="R198" s="150">
        <f>G198*M198</f>
        <v>1634867.92</v>
      </c>
      <c r="S198" s="149"/>
      <c r="T198" s="149">
        <f>W198</f>
        <v>6499411.5199999996</v>
      </c>
      <c r="U198" s="149">
        <f>AB198</f>
        <v>6499411.5199999996</v>
      </c>
      <c r="W198" s="449">
        <f>SUM(X198:AA198)</f>
        <v>6499411.5199999996</v>
      </c>
      <c r="X198" s="395">
        <f>H198*K198</f>
        <v>4080804.56</v>
      </c>
      <c r="Y198" s="14">
        <f>H198*L198</f>
        <v>783739.04</v>
      </c>
      <c r="Z198" s="395">
        <f>H198*M198</f>
        <v>1634867.92</v>
      </c>
      <c r="AB198" s="449">
        <f>SUM(AC198:AF198)</f>
        <v>6499411.5199999996</v>
      </c>
      <c r="AC198" s="395">
        <f>I198*K198</f>
        <v>4080804.56</v>
      </c>
      <c r="AD198" s="14">
        <f>I198*L198</f>
        <v>783739.04</v>
      </c>
      <c r="AE198" s="395">
        <f>I198*M198</f>
        <v>1634867.92</v>
      </c>
    </row>
    <row r="199" spans="1:31" ht="96.6" x14ac:dyDescent="0.25">
      <c r="A199" s="827"/>
      <c r="B199" s="830"/>
      <c r="C199" s="604" t="s">
        <v>433</v>
      </c>
      <c r="D199" s="19" t="s">
        <v>24</v>
      </c>
      <c r="E199" s="606">
        <f>50</f>
        <v>50</v>
      </c>
      <c r="F199" s="683">
        <f>50-25</f>
        <v>25</v>
      </c>
      <c r="G199" s="11">
        <f>42-17</f>
        <v>25</v>
      </c>
      <c r="H199" s="444">
        <v>25</v>
      </c>
      <c r="I199" s="444">
        <v>25</v>
      </c>
      <c r="J199" s="384">
        <f>SUM(K199:M199)</f>
        <v>172101.88</v>
      </c>
      <c r="K199" s="14">
        <f>126186.07+2726.4</f>
        <v>128912.47</v>
      </c>
      <c r="L199" s="14">
        <v>13995.34</v>
      </c>
      <c r="M199" s="478">
        <v>29194.07</v>
      </c>
      <c r="N199" s="395">
        <f>SUM(O199:R199)</f>
        <v>4302547</v>
      </c>
      <c r="O199" s="395">
        <f>G199*K199</f>
        <v>3222811.75</v>
      </c>
      <c r="P199" s="642">
        <f>G199*L199</f>
        <v>349883.5</v>
      </c>
      <c r="Q199" s="395"/>
      <c r="R199" s="150">
        <f>G199*M199</f>
        <v>729851.75</v>
      </c>
      <c r="S199" s="149"/>
      <c r="T199" s="149">
        <f>W199</f>
        <v>4302547</v>
      </c>
      <c r="U199" s="149">
        <f>AB199</f>
        <v>4302547</v>
      </c>
      <c r="W199" s="449">
        <f>SUM(X199:AA199)</f>
        <v>4302547</v>
      </c>
      <c r="X199" s="395">
        <f>H199*K199</f>
        <v>3222811.75</v>
      </c>
      <c r="Y199" s="14">
        <f>H199*L199</f>
        <v>349883.5</v>
      </c>
      <c r="Z199" s="395">
        <f>H199*M199</f>
        <v>729851.75</v>
      </c>
      <c r="AB199" s="449">
        <f>SUM(AC199:AF199)</f>
        <v>4302547</v>
      </c>
      <c r="AC199" s="395">
        <f>I199*K199</f>
        <v>3222811.75</v>
      </c>
      <c r="AD199" s="14">
        <f>I199*L199</f>
        <v>349883.5</v>
      </c>
      <c r="AE199" s="395">
        <f>I199*M199</f>
        <v>729851.75</v>
      </c>
    </row>
    <row r="200" spans="1:31" ht="82.8" x14ac:dyDescent="0.25">
      <c r="A200" s="827"/>
      <c r="B200" s="830"/>
      <c r="C200" s="405" t="s">
        <v>39</v>
      </c>
      <c r="D200" s="19" t="s">
        <v>24</v>
      </c>
      <c r="E200" s="11" t="s">
        <v>26</v>
      </c>
      <c r="F200" s="11" t="s">
        <v>26</v>
      </c>
      <c r="G200" s="11" t="s">
        <v>26</v>
      </c>
      <c r="H200" s="415" t="s">
        <v>26</v>
      </c>
      <c r="I200" s="415" t="s">
        <v>26</v>
      </c>
      <c r="J200" s="426" t="s">
        <v>26</v>
      </c>
      <c r="K200" s="426" t="s">
        <v>26</v>
      </c>
      <c r="L200" s="426" t="s">
        <v>26</v>
      </c>
      <c r="M200" s="415" t="s">
        <v>26</v>
      </c>
      <c r="N200" s="427"/>
      <c r="O200" s="427"/>
      <c r="P200" s="426" t="s">
        <v>26</v>
      </c>
      <c r="Q200" s="426"/>
      <c r="R200" s="415" t="s">
        <v>26</v>
      </c>
      <c r="S200" s="10"/>
      <c r="T200" s="149"/>
      <c r="U200" s="149"/>
    </row>
    <row r="201" spans="1:31" x14ac:dyDescent="0.25">
      <c r="A201" s="827"/>
      <c r="B201" s="830"/>
      <c r="C201" s="432" t="s">
        <v>27</v>
      </c>
      <c r="D201" s="19" t="s">
        <v>24</v>
      </c>
      <c r="E201" s="11">
        <v>1</v>
      </c>
      <c r="F201" s="682">
        <v>1</v>
      </c>
      <c r="G201" s="11">
        <v>0</v>
      </c>
      <c r="H201" s="415">
        <v>0</v>
      </c>
      <c r="I201" s="415">
        <v>0</v>
      </c>
      <c r="J201" s="641">
        <f>K201</f>
        <v>74714</v>
      </c>
      <c r="K201" s="14">
        <v>74714.429999999993</v>
      </c>
      <c r="L201" s="641"/>
      <c r="M201" s="415"/>
      <c r="N201" s="642">
        <f>O201</f>
        <v>0</v>
      </c>
      <c r="O201" s="642">
        <f>G201*K201</f>
        <v>0</v>
      </c>
      <c r="P201" s="641"/>
      <c r="Q201" s="641"/>
      <c r="R201" s="415"/>
      <c r="S201" s="10"/>
      <c r="T201" s="149">
        <f>H201*K201</f>
        <v>0</v>
      </c>
      <c r="U201" s="149">
        <f>I201*K201</f>
        <v>0</v>
      </c>
    </row>
    <row r="202" spans="1:31" ht="24" customHeight="1" x14ac:dyDescent="0.25">
      <c r="A202" s="827"/>
      <c r="B202" s="830"/>
      <c r="C202" s="432" t="s">
        <v>29</v>
      </c>
      <c r="D202" s="19" t="s">
        <v>24</v>
      </c>
      <c r="E202" s="606">
        <v>1</v>
      </c>
      <c r="F202" s="683">
        <f>1-1</f>
        <v>0</v>
      </c>
      <c r="G202" s="11">
        <v>0</v>
      </c>
      <c r="H202" s="444">
        <f>1-1</f>
        <v>0</v>
      </c>
      <c r="I202" s="444">
        <f>1-1</f>
        <v>0</v>
      </c>
      <c r="J202" s="150">
        <f>K202</f>
        <v>122576.58</v>
      </c>
      <c r="K202" s="150">
        <v>122576.58</v>
      </c>
      <c r="L202" s="426" t="s">
        <v>26</v>
      </c>
      <c r="M202" s="415" t="s">
        <v>26</v>
      </c>
      <c r="N202" s="427">
        <f>O202</f>
        <v>0</v>
      </c>
      <c r="O202" s="427">
        <f>G202*K202</f>
        <v>0</v>
      </c>
      <c r="P202" s="426" t="s">
        <v>26</v>
      </c>
      <c r="Q202" s="426"/>
      <c r="R202" s="415" t="s">
        <v>26</v>
      </c>
      <c r="S202" s="10"/>
      <c r="T202" s="149">
        <f>H202*K202</f>
        <v>0</v>
      </c>
      <c r="U202" s="149">
        <f>I202*K202</f>
        <v>0</v>
      </c>
      <c r="AB202" s="25"/>
    </row>
    <row r="203" spans="1:31" ht="82.95" customHeight="1" x14ac:dyDescent="0.25">
      <c r="A203" s="827"/>
      <c r="B203" s="830"/>
      <c r="C203" s="22" t="s">
        <v>35</v>
      </c>
      <c r="D203" s="19" t="s">
        <v>24</v>
      </c>
      <c r="E203" s="444">
        <v>2</v>
      </c>
      <c r="F203" s="700">
        <f>2-1</f>
        <v>1</v>
      </c>
      <c r="G203" s="415">
        <f>2-1</f>
        <v>1</v>
      </c>
      <c r="H203" s="444">
        <f>2-1</f>
        <v>1</v>
      </c>
      <c r="I203" s="444">
        <f>2-1</f>
        <v>1</v>
      </c>
      <c r="J203" s="384">
        <f>SUM(K203:M203)</f>
        <v>603046.61</v>
      </c>
      <c r="K203" s="150">
        <f>557130.8+2726.4</f>
        <v>559857.19999999995</v>
      </c>
      <c r="L203" s="14">
        <v>13995.34</v>
      </c>
      <c r="M203" s="478">
        <v>29194.07</v>
      </c>
      <c r="N203" s="395">
        <f>SUM(O203:R203)</f>
        <v>603046.61</v>
      </c>
      <c r="O203" s="395">
        <f>G203*K203</f>
        <v>559857.19999999995</v>
      </c>
      <c r="P203" s="642">
        <f>G203*L203</f>
        <v>13995.34</v>
      </c>
      <c r="Q203" s="395"/>
      <c r="R203" s="150">
        <f>G203*M203</f>
        <v>29194.07</v>
      </c>
      <c r="S203" s="396"/>
      <c r="T203" s="149">
        <f>H203*J203</f>
        <v>603046.61</v>
      </c>
      <c r="U203" s="149">
        <f>I203*J203</f>
        <v>603046.61</v>
      </c>
      <c r="AB203" s="25"/>
      <c r="AC203" s="25"/>
    </row>
    <row r="204" spans="1:31" ht="19.2" customHeight="1" x14ac:dyDescent="0.25">
      <c r="A204" s="827"/>
      <c r="B204" s="830"/>
      <c r="C204" s="419" t="s">
        <v>58</v>
      </c>
      <c r="D204" s="19" t="s">
        <v>59</v>
      </c>
      <c r="E204" s="606">
        <v>4</v>
      </c>
      <c r="F204" s="606">
        <v>4</v>
      </c>
      <c r="G204" s="11">
        <v>4</v>
      </c>
      <c r="H204" s="444">
        <v>4</v>
      </c>
      <c r="I204" s="444">
        <v>4</v>
      </c>
      <c r="J204" s="150">
        <f>SUM(K204:M204)</f>
        <v>234360</v>
      </c>
      <c r="K204" s="150">
        <f>10000*1.5*1.302*12</f>
        <v>234360</v>
      </c>
      <c r="L204" s="384"/>
      <c r="M204" s="14"/>
      <c r="N204" s="449">
        <f>SUM(O204:R204)</f>
        <v>937440</v>
      </c>
      <c r="O204" s="449">
        <f>G204*K204</f>
        <v>937440</v>
      </c>
      <c r="P204" s="427"/>
      <c r="Q204" s="395"/>
      <c r="R204" s="150"/>
      <c r="S204" s="396"/>
      <c r="T204" s="340">
        <f>H204*K204-937440</f>
        <v>0</v>
      </c>
      <c r="U204" s="340">
        <f>I204*K204-937440</f>
        <v>0</v>
      </c>
      <c r="AB204" s="25"/>
      <c r="AC204" s="25"/>
    </row>
    <row r="205" spans="1:31" ht="26.4" customHeight="1" x14ac:dyDescent="0.25">
      <c r="A205" s="827"/>
      <c r="B205" s="831"/>
      <c r="C205" s="420" t="s">
        <v>38</v>
      </c>
      <c r="D205" s="19"/>
      <c r="E205" s="607">
        <f>E198+E203+E199</f>
        <v>96</v>
      </c>
      <c r="F205" s="692">
        <f>F198+F203+F199</f>
        <v>82</v>
      </c>
      <c r="G205" s="685">
        <f>G198+G203+G199</f>
        <v>82</v>
      </c>
      <c r="H205" s="757">
        <f>H198+H203+H199</f>
        <v>82</v>
      </c>
      <c r="I205" s="757">
        <f>I198+I203+I199</f>
        <v>82</v>
      </c>
      <c r="J205" s="395" t="s">
        <v>26</v>
      </c>
      <c r="K205" s="395" t="s">
        <v>26</v>
      </c>
      <c r="L205" s="395" t="s">
        <v>26</v>
      </c>
      <c r="M205" s="150" t="s">
        <v>26</v>
      </c>
      <c r="N205" s="153">
        <f>SUM(N198:N204)</f>
        <v>12342445.130000001</v>
      </c>
      <c r="O205" s="153">
        <f t="shared" ref="O205:U205" si="67">SUM(O198:O204)</f>
        <v>8800913.5099999998</v>
      </c>
      <c r="P205" s="153">
        <f t="shared" si="67"/>
        <v>1147617.8799999999</v>
      </c>
      <c r="Q205" s="153">
        <f t="shared" si="67"/>
        <v>0</v>
      </c>
      <c r="R205" s="645">
        <f t="shared" si="67"/>
        <v>2393913.7400000002</v>
      </c>
      <c r="S205" s="153">
        <f t="shared" si="67"/>
        <v>0</v>
      </c>
      <c r="T205" s="153">
        <f t="shared" si="67"/>
        <v>11405005.130000001</v>
      </c>
      <c r="U205" s="153">
        <f t="shared" si="67"/>
        <v>11405005.130000001</v>
      </c>
      <c r="V205" s="25"/>
      <c r="W205" s="25"/>
      <c r="X205" s="25"/>
      <c r="AA205" s="25"/>
      <c r="AB205" s="25"/>
    </row>
    <row r="206" spans="1:31" ht="58.95" customHeight="1" x14ac:dyDescent="0.25">
      <c r="A206" s="827"/>
      <c r="B206" s="834" t="s">
        <v>115</v>
      </c>
      <c r="C206" s="832" t="s">
        <v>64</v>
      </c>
      <c r="D206" s="19" t="s">
        <v>24</v>
      </c>
      <c r="E206" s="693">
        <f>2309-109+106-51</f>
        <v>2255</v>
      </c>
      <c r="F206" s="691">
        <f>2309-109+55</f>
        <v>2255</v>
      </c>
      <c r="G206" s="445">
        <v>2255</v>
      </c>
      <c r="H206" s="443">
        <v>2255</v>
      </c>
      <c r="I206" s="443">
        <v>2255</v>
      </c>
      <c r="J206" s="150">
        <f>K206</f>
        <v>5125.76</v>
      </c>
      <c r="K206" s="150">
        <v>5125.76</v>
      </c>
      <c r="L206" s="150" t="s">
        <v>26</v>
      </c>
      <c r="M206" s="150" t="s">
        <v>26</v>
      </c>
      <c r="N206" s="395">
        <f>SUM(O206:R206)</f>
        <v>11558588.800000001</v>
      </c>
      <c r="O206" s="395">
        <f>G206*K206</f>
        <v>11558588.800000001</v>
      </c>
      <c r="P206" s="395">
        <v>0</v>
      </c>
      <c r="Q206" s="395"/>
      <c r="R206" s="150">
        <v>0</v>
      </c>
      <c r="S206" s="396"/>
      <c r="T206" s="149">
        <f>H206*J206</f>
        <v>11558588.800000001</v>
      </c>
      <c r="U206" s="149">
        <f>I206*J206</f>
        <v>11558588.800000001</v>
      </c>
      <c r="V206" s="435"/>
      <c r="W206" s="435"/>
      <c r="X206" s="25"/>
      <c r="Y206" s="30"/>
    </row>
    <row r="207" spans="1:31" ht="43.95" customHeight="1" x14ac:dyDescent="0.25">
      <c r="A207" s="827"/>
      <c r="B207" s="836"/>
      <c r="C207" s="833"/>
      <c r="D207" s="433" t="s">
        <v>232</v>
      </c>
      <c r="E207" s="617">
        <v>226446.8</v>
      </c>
      <c r="F207" s="707">
        <v>226446.8</v>
      </c>
      <c r="G207" s="762">
        <f>224200-4492</f>
        <v>219708</v>
      </c>
      <c r="H207" s="762">
        <f t="shared" ref="H207:I207" si="68">224200-4492</f>
        <v>219708</v>
      </c>
      <c r="I207" s="762">
        <f t="shared" si="68"/>
        <v>219708</v>
      </c>
      <c r="J207" s="394">
        <f>K207</f>
        <v>52.61</v>
      </c>
      <c r="K207" s="394">
        <f>N207/G207</f>
        <v>52.61</v>
      </c>
      <c r="L207" s="394" t="s">
        <v>26</v>
      </c>
      <c r="M207" s="394" t="s">
        <v>26</v>
      </c>
      <c r="N207" s="394">
        <f>N206</f>
        <v>11558588.800000001</v>
      </c>
      <c r="O207" s="393">
        <f>O206</f>
        <v>11558588.800000001</v>
      </c>
      <c r="P207" s="393" t="s">
        <v>26</v>
      </c>
      <c r="Q207" s="393"/>
      <c r="R207" s="394" t="s">
        <v>26</v>
      </c>
      <c r="S207" s="393"/>
      <c r="T207" s="394">
        <f>T206/G207*H207</f>
        <v>11558588.800000001</v>
      </c>
      <c r="U207" s="394">
        <f>U206/G207*I207</f>
        <v>11558588.800000001</v>
      </c>
      <c r="V207" s="435"/>
      <c r="W207" s="435"/>
      <c r="X207" s="25"/>
      <c r="Y207" s="30"/>
    </row>
    <row r="208" spans="1:31" ht="110.4" hidden="1" x14ac:dyDescent="0.25">
      <c r="A208" s="827"/>
      <c r="B208" s="835"/>
      <c r="C208" s="22" t="s">
        <v>65</v>
      </c>
      <c r="D208" s="19" t="s">
        <v>24</v>
      </c>
      <c r="E208" s="606">
        <v>495</v>
      </c>
      <c r="F208" s="606">
        <v>495</v>
      </c>
      <c r="G208" s="11">
        <v>495</v>
      </c>
      <c r="H208" s="415">
        <v>495</v>
      </c>
      <c r="I208" s="415">
        <v>495</v>
      </c>
      <c r="J208" s="395" t="s">
        <v>26</v>
      </c>
      <c r="K208" s="395" t="s">
        <v>26</v>
      </c>
      <c r="L208" s="395" t="s">
        <v>26</v>
      </c>
      <c r="M208" s="150">
        <v>0</v>
      </c>
      <c r="N208" s="395">
        <f>R208</f>
        <v>0</v>
      </c>
      <c r="O208" s="395">
        <v>0</v>
      </c>
      <c r="P208" s="395">
        <v>0</v>
      </c>
      <c r="Q208" s="395"/>
      <c r="R208" s="150">
        <f>G208*M208</f>
        <v>0</v>
      </c>
      <c r="S208" s="396"/>
      <c r="T208" s="149">
        <f>N208</f>
        <v>0</v>
      </c>
      <c r="U208" s="149">
        <f t="shared" ref="U208:U212" si="69">T208</f>
        <v>0</v>
      </c>
      <c r="V208" s="435"/>
      <c r="W208" s="435"/>
      <c r="Y208" s="25"/>
      <c r="Z208" s="1">
        <f>Y208/G217</f>
        <v>0</v>
      </c>
      <c r="AA208" s="1">
        <f>Z208*Y206</f>
        <v>0</v>
      </c>
    </row>
    <row r="209" spans="1:31" ht="13.95" customHeight="1" x14ac:dyDescent="0.25">
      <c r="A209" s="827"/>
      <c r="B209" s="390"/>
      <c r="C209" s="424" t="s">
        <v>38</v>
      </c>
      <c r="D209" s="409"/>
      <c r="E209" s="606">
        <f>SUM(E206:E206)</f>
        <v>2255</v>
      </c>
      <c r="F209" s="606">
        <f t="shared" ref="F209:G209" si="70">SUM(F206:F206)</f>
        <v>2255</v>
      </c>
      <c r="G209" s="606">
        <f t="shared" si="70"/>
        <v>2255</v>
      </c>
      <c r="H209" s="444">
        <f>SUM(H206:H206)</f>
        <v>2255</v>
      </c>
      <c r="I209" s="444">
        <f>SUM(I206:I206)</f>
        <v>2255</v>
      </c>
      <c r="J209" s="395" t="s">
        <v>26</v>
      </c>
      <c r="K209" s="395" t="s">
        <v>26</v>
      </c>
      <c r="L209" s="395" t="s">
        <v>26</v>
      </c>
      <c r="M209" s="150">
        <f>SUM(M206:M206)</f>
        <v>0</v>
      </c>
      <c r="N209" s="153">
        <f>N206+N208</f>
        <v>11558588.800000001</v>
      </c>
      <c r="O209" s="395">
        <f>O206+O208</f>
        <v>11558588.800000001</v>
      </c>
      <c r="P209" s="395">
        <f>P206+P208</f>
        <v>0</v>
      </c>
      <c r="Q209" s="395"/>
      <c r="R209" s="150">
        <f>R206+R208</f>
        <v>0</v>
      </c>
      <c r="S209" s="396"/>
      <c r="T209" s="396">
        <f>T206+T208</f>
        <v>11558588.800000001</v>
      </c>
      <c r="U209" s="149">
        <f>U206+U208</f>
        <v>11558588.800000001</v>
      </c>
      <c r="V209" s="435"/>
      <c r="W209" s="435"/>
      <c r="AA209" s="25">
        <f>AA208+R208</f>
        <v>0</v>
      </c>
    </row>
    <row r="210" spans="1:31" ht="31.2" customHeight="1" x14ac:dyDescent="0.25">
      <c r="A210" s="827"/>
      <c r="B210" s="158" t="s">
        <v>45</v>
      </c>
      <c r="C210" s="424" t="s">
        <v>44</v>
      </c>
      <c r="D210" s="410" t="s">
        <v>46</v>
      </c>
      <c r="E210" s="606">
        <v>4</v>
      </c>
      <c r="F210" s="606">
        <v>4</v>
      </c>
      <c r="G210" s="11">
        <v>4</v>
      </c>
      <c r="H210" s="444">
        <v>4</v>
      </c>
      <c r="I210" s="444">
        <v>4</v>
      </c>
      <c r="J210" s="395"/>
      <c r="K210" s="395"/>
      <c r="L210" s="150">
        <v>316440.09999999998</v>
      </c>
      <c r="M210" s="150"/>
      <c r="N210" s="395">
        <f>P210</f>
        <v>1265760.3999999999</v>
      </c>
      <c r="O210" s="395"/>
      <c r="P210" s="395">
        <f>G210*L210</f>
        <v>1265760.3999999999</v>
      </c>
      <c r="Q210" s="395"/>
      <c r="R210" s="150"/>
      <c r="S210" s="396"/>
      <c r="T210" s="149">
        <f>H210*L210</f>
        <v>1265760.3999999999</v>
      </c>
      <c r="U210" s="149">
        <f>I210*L210</f>
        <v>1265760.3999999999</v>
      </c>
      <c r="V210" s="435"/>
      <c r="W210" s="435"/>
      <c r="AA210" s="25"/>
    </row>
    <row r="211" spans="1:31" ht="13.95" customHeight="1" x14ac:dyDescent="0.25">
      <c r="A211" s="827"/>
      <c r="B211" s="381" t="s">
        <v>66</v>
      </c>
      <c r="C211" s="424" t="s">
        <v>44</v>
      </c>
      <c r="D211" s="410" t="s">
        <v>46</v>
      </c>
      <c r="E211" s="606">
        <v>1</v>
      </c>
      <c r="F211" s="606">
        <v>1</v>
      </c>
      <c r="G211" s="11">
        <v>1</v>
      </c>
      <c r="H211" s="444">
        <v>1</v>
      </c>
      <c r="I211" s="444">
        <v>1</v>
      </c>
      <c r="J211" s="395"/>
      <c r="K211" s="395"/>
      <c r="L211" s="150">
        <v>2613705.66</v>
      </c>
      <c r="M211" s="150"/>
      <c r="N211" s="150">
        <f>P211</f>
        <v>2843862.59</v>
      </c>
      <c r="O211" s="395"/>
      <c r="P211" s="150">
        <f>L211+39957.8*(764-476)/50</f>
        <v>2843862.59</v>
      </c>
      <c r="Q211" s="395"/>
      <c r="R211" s="150"/>
      <c r="S211" s="396"/>
      <c r="T211" s="149">
        <f>H211*L211</f>
        <v>2613705.66</v>
      </c>
      <c r="U211" s="149">
        <f>I211*L211</f>
        <v>2613705.66</v>
      </c>
      <c r="V211" s="436"/>
      <c r="W211" s="436"/>
    </row>
    <row r="212" spans="1:31" ht="13.95" customHeight="1" x14ac:dyDescent="0.25">
      <c r="A212" s="827"/>
      <c r="B212" s="381" t="s">
        <v>67</v>
      </c>
      <c r="C212" s="28" t="s">
        <v>44</v>
      </c>
      <c r="D212" s="19"/>
      <c r="E212" s="606"/>
      <c r="F212" s="606"/>
      <c r="G212" s="606"/>
      <c r="H212" s="444"/>
      <c r="I212" s="444"/>
      <c r="J212" s="395"/>
      <c r="K212" s="395"/>
      <c r="L212" s="395"/>
      <c r="M212" s="150"/>
      <c r="N212" s="150">
        <f>P212</f>
        <v>0</v>
      </c>
      <c r="O212" s="395"/>
      <c r="P212" s="150">
        <f>L212*(807.27-476)/50</f>
        <v>0</v>
      </c>
      <c r="Q212" s="395"/>
      <c r="R212" s="150"/>
      <c r="S212" s="396"/>
      <c r="T212" s="149">
        <f>N212</f>
        <v>0</v>
      </c>
      <c r="U212" s="149">
        <f t="shared" si="69"/>
        <v>0</v>
      </c>
      <c r="V212" s="436"/>
      <c r="W212" s="436"/>
    </row>
    <row r="213" spans="1:31" hidden="1" x14ac:dyDescent="0.25">
      <c r="A213" s="827"/>
      <c r="B213" s="381" t="s">
        <v>55</v>
      </c>
      <c r="C213" s="381" t="s">
        <v>54</v>
      </c>
      <c r="D213" s="400"/>
      <c r="E213" s="6"/>
      <c r="F213" s="6"/>
      <c r="G213" s="6"/>
      <c r="H213" s="7"/>
      <c r="I213" s="7"/>
      <c r="J213" s="387"/>
      <c r="K213" s="387"/>
      <c r="L213" s="395">
        <v>39062.44</v>
      </c>
      <c r="M213" s="31"/>
      <c r="N213" s="387">
        <f>S213</f>
        <v>0</v>
      </c>
      <c r="O213" s="387"/>
      <c r="P213" s="398"/>
      <c r="Q213" s="387"/>
      <c r="R213" s="31"/>
      <c r="S213" s="389"/>
      <c r="T213" s="23"/>
      <c r="U213" s="23"/>
      <c r="V213" s="25"/>
      <c r="W213" s="25"/>
    </row>
    <row r="214" spans="1:31" ht="13.95" customHeight="1" x14ac:dyDescent="0.25">
      <c r="A214" s="827"/>
      <c r="B214" s="381" t="s">
        <v>47</v>
      </c>
      <c r="C214" s="381" t="s">
        <v>44</v>
      </c>
      <c r="D214" s="400"/>
      <c r="E214" s="6">
        <v>31</v>
      </c>
      <c r="F214" s="6">
        <v>31</v>
      </c>
      <c r="G214" s="6">
        <v>31</v>
      </c>
      <c r="H214" s="7">
        <v>31</v>
      </c>
      <c r="I214" s="7">
        <v>31</v>
      </c>
      <c r="J214" s="387"/>
      <c r="K214" s="387"/>
      <c r="L214" s="395">
        <v>0</v>
      </c>
      <c r="M214" s="31"/>
      <c r="N214" s="449">
        <f>SUM(O214:R214)</f>
        <v>7265160</v>
      </c>
      <c r="O214" s="31">
        <f>O204+O196+O184</f>
        <v>7265160</v>
      </c>
      <c r="P214" s="387"/>
      <c r="Q214" s="387"/>
      <c r="R214" s="31"/>
      <c r="S214" s="389"/>
      <c r="T214" s="23">
        <v>3632580</v>
      </c>
      <c r="U214" s="23">
        <f>T214</f>
        <v>3632580</v>
      </c>
      <c r="V214" s="25"/>
      <c r="W214" s="25"/>
    </row>
    <row r="215" spans="1:31" ht="13.95" hidden="1" customHeight="1" x14ac:dyDescent="0.25">
      <c r="A215" s="827"/>
      <c r="B215" s="381" t="s">
        <v>48</v>
      </c>
      <c r="C215" s="381" t="s">
        <v>44</v>
      </c>
      <c r="D215" s="400"/>
      <c r="E215" s="6"/>
      <c r="F215" s="6"/>
      <c r="G215" s="6"/>
      <c r="H215" s="7"/>
      <c r="I215" s="7"/>
      <c r="J215" s="387"/>
      <c r="K215" s="387"/>
      <c r="L215" s="387"/>
      <c r="M215" s="31"/>
      <c r="N215" s="387">
        <f>O215</f>
        <v>0</v>
      </c>
      <c r="O215" s="387"/>
      <c r="P215" s="387"/>
      <c r="Q215" s="387"/>
      <c r="R215" s="31"/>
      <c r="S215" s="389"/>
      <c r="T215" s="23">
        <f>O215</f>
        <v>0</v>
      </c>
      <c r="U215" s="23">
        <f>T215</f>
        <v>0</v>
      </c>
    </row>
    <row r="216" spans="1:31" ht="13.95" hidden="1" customHeight="1" x14ac:dyDescent="0.25">
      <c r="A216" s="827"/>
      <c r="B216" s="381" t="s">
        <v>49</v>
      </c>
      <c r="C216" s="381" t="s">
        <v>44</v>
      </c>
      <c r="D216" s="400"/>
      <c r="E216" s="6"/>
      <c r="F216" s="6"/>
      <c r="G216" s="6"/>
      <c r="H216" s="7"/>
      <c r="I216" s="7"/>
      <c r="J216" s="387"/>
      <c r="K216" s="387"/>
      <c r="L216" s="387"/>
      <c r="M216" s="31"/>
      <c r="N216" s="387">
        <f>P216</f>
        <v>0</v>
      </c>
      <c r="O216" s="387"/>
      <c r="P216" s="387"/>
      <c r="Q216" s="387"/>
      <c r="R216" s="31"/>
      <c r="S216" s="389"/>
      <c r="T216" s="23"/>
      <c r="U216" s="23">
        <f>T216</f>
        <v>0</v>
      </c>
    </row>
    <row r="217" spans="1:31" ht="28.2" customHeight="1" x14ac:dyDescent="0.25">
      <c r="A217" s="828"/>
      <c r="B217" s="409" t="s">
        <v>50</v>
      </c>
      <c r="C217" s="390"/>
      <c r="D217" s="390"/>
      <c r="E217" s="618">
        <f>E185+E197+E205</f>
        <v>722</v>
      </c>
      <c r="F217" s="694">
        <f>F185+F197+F205</f>
        <v>703</v>
      </c>
      <c r="G217" s="763">
        <f>G185+G197+G205</f>
        <v>763</v>
      </c>
      <c r="H217" s="763">
        <f>H185+H197+H205</f>
        <v>763</v>
      </c>
      <c r="I217" s="763">
        <f>I185+I197+I205</f>
        <v>763</v>
      </c>
      <c r="J217" s="388"/>
      <c r="K217" s="388"/>
      <c r="L217" s="388"/>
      <c r="M217" s="391"/>
      <c r="N217" s="388">
        <f>SUM(O217:S217)</f>
        <v>105623278.18000001</v>
      </c>
      <c r="O217" s="388">
        <f>O185+O197+O205+O209+O210+O211+O212+O216</f>
        <v>68560135.359999999</v>
      </c>
      <c r="P217" s="388">
        <f>P185+P197+P205+P209+P210+P211+P212+P213+P214+P216</f>
        <v>14788067.41</v>
      </c>
      <c r="Q217" s="388">
        <f>Q185+Q197+Q205+Q209+Q210+Q211+Q212</f>
        <v>0</v>
      </c>
      <c r="R217" s="775">
        <f>R185+R197+R205+R209+R210+R211+R212+R213</f>
        <v>22275075.41</v>
      </c>
      <c r="S217" s="397">
        <f>S185+S197+S205+S209+S210+S211+S212+S213</f>
        <v>0</v>
      </c>
      <c r="T217" s="397">
        <f>T185+T197+T205+T209+T210+T211+T212+T213+T215+T216</f>
        <v>98127961.25</v>
      </c>
      <c r="U217" s="397">
        <f>U185+U197+U205+U209+U210+U211+U212+U213+U215+U216</f>
        <v>98127961.25</v>
      </c>
      <c r="X217" s="25"/>
      <c r="AA217" s="25"/>
      <c r="AB217" s="32"/>
      <c r="AC217" s="25"/>
      <c r="AD217" s="25"/>
      <c r="AE217" s="25"/>
    </row>
    <row r="218" spans="1:31" ht="193.2" x14ac:dyDescent="0.25">
      <c r="A218" s="826" t="s">
        <v>68</v>
      </c>
      <c r="B218" s="829" t="s">
        <v>112</v>
      </c>
      <c r="C218" s="405" t="s">
        <v>69</v>
      </c>
      <c r="D218" s="19" t="s">
        <v>70</v>
      </c>
      <c r="E218" s="11" t="s">
        <v>458</v>
      </c>
      <c r="F218" s="679" t="s">
        <v>520</v>
      </c>
      <c r="G218" s="11" t="s">
        <v>520</v>
      </c>
      <c r="H218" s="11" t="s">
        <v>458</v>
      </c>
      <c r="I218" s="11" t="s">
        <v>458</v>
      </c>
      <c r="J218" s="384" t="s">
        <v>590</v>
      </c>
      <c r="K218" s="384" t="s">
        <v>591</v>
      </c>
      <c r="L218" s="384" t="s">
        <v>600</v>
      </c>
      <c r="M218" s="437" t="s">
        <v>629</v>
      </c>
      <c r="N218" s="14">
        <f>SUM(O218:R218)</f>
        <v>2514361.75</v>
      </c>
      <c r="O218" s="14">
        <f>((((1013620.33*1/12*8)+(1013620.33/12*4))+((2198.86*20)/12*8+(2198.86*20)/12*4)))</f>
        <v>1057597.53</v>
      </c>
      <c r="P218" s="14">
        <f>((332314.42*1)/12*8)+((332314.42*1)/12*4)</f>
        <v>332314.42</v>
      </c>
      <c r="Q218" s="427"/>
      <c r="R218" s="619">
        <f>((56222.49*20)/12*8)+((56222.49*20)/12*4)</f>
        <v>1124449.8</v>
      </c>
      <c r="S218" s="149"/>
      <c r="T218" s="150">
        <f>W218</f>
        <v>2572783.1</v>
      </c>
      <c r="U218" s="150">
        <f>AB218</f>
        <v>2572783.1</v>
      </c>
      <c r="W218" s="418">
        <f>SUM(X218:Z218)</f>
        <v>2572783.1</v>
      </c>
      <c r="X218" s="478">
        <f>((((1013620.33*1/12*8)+(1013620.33/12*4))+((2198.86*21)/12*8+(2198.86*21)/12*4)))</f>
        <v>1059796.3899999999</v>
      </c>
      <c r="Y218" s="478">
        <f>((332314.42*1)/12*8)+((332314.42*1)/12*4)</f>
        <v>332314.42</v>
      </c>
      <c r="Z218" s="631">
        <f>((56222.49*21)/12*8)+((56222.49*21)/12*4)</f>
        <v>1180672.29</v>
      </c>
      <c r="AB218" s="418">
        <f>SUM(AC218:AE218)</f>
        <v>2572783.1</v>
      </c>
      <c r="AC218" s="478">
        <f>((((1013620.33*1/12*8)+(1013620.33/12*4))+((2198.86*21)/12*8+(2198.86*21)/12*4)))</f>
        <v>1059796.3899999999</v>
      </c>
      <c r="AD218" s="478">
        <f>((332314.42*1)/12*8)+((332314.42*1)/12*4)</f>
        <v>332314.42</v>
      </c>
      <c r="AE218" s="631">
        <f>((56222.49*21)/12*8)+((56222.49*21)/12*4)</f>
        <v>1180672.29</v>
      </c>
    </row>
    <row r="219" spans="1:31" ht="179.4" x14ac:dyDescent="0.25">
      <c r="A219" s="827"/>
      <c r="B219" s="830"/>
      <c r="C219" s="405" t="s">
        <v>71</v>
      </c>
      <c r="D219" s="19" t="s">
        <v>70</v>
      </c>
      <c r="E219" s="11" t="s">
        <v>472</v>
      </c>
      <c r="F219" s="679" t="s">
        <v>521</v>
      </c>
      <c r="G219" s="11" t="s">
        <v>607</v>
      </c>
      <c r="H219" s="11" t="s">
        <v>608</v>
      </c>
      <c r="I219" s="11" t="s">
        <v>609</v>
      </c>
      <c r="J219" s="384" t="s">
        <v>592</v>
      </c>
      <c r="K219" s="384" t="s">
        <v>593</v>
      </c>
      <c r="L219" s="384" t="s">
        <v>600</v>
      </c>
      <c r="M219" s="437" t="s">
        <v>630</v>
      </c>
      <c r="N219" s="14">
        <f>SUM(O219:R219)</f>
        <v>8598641.7699999996</v>
      </c>
      <c r="O219" s="14">
        <f>((((955631.11*4)/12*8+(955631.11*4)/12*4)+((2198.86*59)/12*8+(2198.86*59)/12*4)))</f>
        <v>3952257.18</v>
      </c>
      <c r="P219" s="14">
        <f>((332314.42*4)/12*8)+((332314.42*4)/12*4)</f>
        <v>1329257.68</v>
      </c>
      <c r="Q219" s="14"/>
      <c r="R219" s="786">
        <f>((56222.49*59)/12*8)+((56222.49*59)/12*4)</f>
        <v>3317126.91</v>
      </c>
      <c r="S219" s="149"/>
      <c r="T219" s="150">
        <f>W219</f>
        <v>7780742.8700000001</v>
      </c>
      <c r="U219" s="150">
        <f>AB219</f>
        <v>7313372.0700000003</v>
      </c>
      <c r="W219" s="418">
        <f>SUM(X219:Z219)</f>
        <v>7780742.8700000001</v>
      </c>
      <c r="X219" s="478">
        <f>((((955631.11*4/12*8)+(955631.11*4/12*4))+((2198.86*45)/12*8+(2198.86*45)/12*4)))</f>
        <v>3921473.14</v>
      </c>
      <c r="Y219" s="478">
        <f>((332314.42*4)/12*8)+((332314.42*4)/12*4)</f>
        <v>1329257.68</v>
      </c>
      <c r="Z219" s="631">
        <f>((56222.49*45)/12*8)+((56222.49*45)/12*4)</f>
        <v>2530012.0499999998</v>
      </c>
      <c r="AB219" s="418">
        <f>SUM(AC219:AE219)</f>
        <v>7313372.0700000003</v>
      </c>
      <c r="AC219" s="478">
        <f>((((955631.11*4/12*8)+(955631.11*4/12*4))+((2198.86*37)/12*8+(2198.86*37)/12*4)))</f>
        <v>3903882.26</v>
      </c>
      <c r="AD219" s="478">
        <f>((332314.42*4)/12*8)+((332314.42*4)/12*4)</f>
        <v>1329257.68</v>
      </c>
      <c r="AE219" s="631">
        <f>((56222.49*37)/12*8)+((56222.49*37)/12*4)</f>
        <v>2080232.13</v>
      </c>
    </row>
    <row r="220" spans="1:31" ht="82.8" x14ac:dyDescent="0.25">
      <c r="A220" s="827"/>
      <c r="B220" s="830"/>
      <c r="C220" s="405" t="s">
        <v>39</v>
      </c>
      <c r="D220" s="19" t="s">
        <v>24</v>
      </c>
      <c r="E220" s="605"/>
      <c r="F220" s="605"/>
      <c r="G220" s="438"/>
      <c r="H220" s="439"/>
      <c r="I220" s="439"/>
      <c r="J220" s="212" t="s">
        <v>72</v>
      </c>
      <c r="K220" s="212" t="s">
        <v>72</v>
      </c>
      <c r="L220" s="212" t="s">
        <v>72</v>
      </c>
      <c r="M220" s="212" t="s">
        <v>72</v>
      </c>
      <c r="N220" s="427">
        <f t="shared" ref="N220:N228" si="71">SUM(O220:R220)</f>
        <v>0</v>
      </c>
      <c r="O220" s="212" t="s">
        <v>72</v>
      </c>
      <c r="P220" s="212" t="s">
        <v>72</v>
      </c>
      <c r="Q220" s="212"/>
      <c r="R220" s="212" t="s">
        <v>72</v>
      </c>
      <c r="S220" s="440"/>
      <c r="T220" s="149">
        <f t="shared" ref="T220" si="72">N220</f>
        <v>0</v>
      </c>
      <c r="U220" s="149">
        <f t="shared" ref="U220" si="73">T220</f>
        <v>0</v>
      </c>
    </row>
    <row r="221" spans="1:31" x14ac:dyDescent="0.25">
      <c r="A221" s="827"/>
      <c r="B221" s="830"/>
      <c r="C221" s="385" t="s">
        <v>57</v>
      </c>
      <c r="D221" s="19" t="s">
        <v>24</v>
      </c>
      <c r="E221" s="605">
        <v>1</v>
      </c>
      <c r="F221" s="679">
        <f>1-1</f>
        <v>0</v>
      </c>
      <c r="G221" s="11">
        <f>1-1</f>
        <v>0</v>
      </c>
      <c r="H221" s="608">
        <f>1-1</f>
        <v>0</v>
      </c>
      <c r="I221" s="608">
        <f>1-1</f>
        <v>0</v>
      </c>
      <c r="J221" s="150">
        <f t="shared" ref="J221:J228" si="74">K221</f>
        <v>183920.14</v>
      </c>
      <c r="K221" s="150">
        <v>183920.14</v>
      </c>
      <c r="L221" s="212"/>
      <c r="M221" s="212"/>
      <c r="N221" s="476">
        <f t="shared" si="71"/>
        <v>0</v>
      </c>
      <c r="O221" s="476">
        <f>G221*K221</f>
        <v>0</v>
      </c>
      <c r="P221" s="212"/>
      <c r="Q221" s="212"/>
      <c r="R221" s="212"/>
      <c r="S221" s="440"/>
      <c r="T221" s="149">
        <f>H221*K221</f>
        <v>0</v>
      </c>
      <c r="U221" s="149">
        <f>I221*K221</f>
        <v>0</v>
      </c>
    </row>
    <row r="222" spans="1:31" x14ac:dyDescent="0.25">
      <c r="A222" s="827"/>
      <c r="B222" s="830"/>
      <c r="C222" s="385" t="s">
        <v>28</v>
      </c>
      <c r="D222" s="19" t="s">
        <v>24</v>
      </c>
      <c r="E222" s="11">
        <v>3</v>
      </c>
      <c r="F222" s="679">
        <f>3-1</f>
        <v>2</v>
      </c>
      <c r="G222" s="11">
        <f>3</f>
        <v>3</v>
      </c>
      <c r="H222" s="415">
        <f>4-1</f>
        <v>3</v>
      </c>
      <c r="I222" s="415">
        <f>2</f>
        <v>2</v>
      </c>
      <c r="J222" s="150">
        <f t="shared" si="74"/>
        <v>183920.14</v>
      </c>
      <c r="K222" s="150">
        <v>183920.14</v>
      </c>
      <c r="L222" s="212"/>
      <c r="M222" s="212"/>
      <c r="N222" s="427">
        <f t="shared" si="71"/>
        <v>551760.42000000004</v>
      </c>
      <c r="O222" s="427">
        <f>G222*K222</f>
        <v>551760.42000000004</v>
      </c>
      <c r="P222" s="212"/>
      <c r="Q222" s="212"/>
      <c r="R222" s="212"/>
      <c r="S222" s="440"/>
      <c r="T222" s="149">
        <f>H222*K222</f>
        <v>551760.42000000004</v>
      </c>
      <c r="U222" s="149">
        <f>I222*K222</f>
        <v>367840.28</v>
      </c>
      <c r="W222" s="493" t="s">
        <v>351</v>
      </c>
    </row>
    <row r="223" spans="1:31" x14ac:dyDescent="0.25">
      <c r="A223" s="827"/>
      <c r="B223" s="830"/>
      <c r="C223" s="385" t="s">
        <v>30</v>
      </c>
      <c r="D223" s="19" t="s">
        <v>24</v>
      </c>
      <c r="E223" s="11">
        <v>6</v>
      </c>
      <c r="F223" s="679">
        <f>6+3</f>
        <v>9</v>
      </c>
      <c r="G223" s="11">
        <f>5+4</f>
        <v>9</v>
      </c>
      <c r="H223" s="415">
        <f>7-1</f>
        <v>6</v>
      </c>
      <c r="I223" s="415">
        <f>7-2</f>
        <v>5</v>
      </c>
      <c r="J223" s="150">
        <f t="shared" si="74"/>
        <v>181881.77</v>
      </c>
      <c r="K223" s="150">
        <v>181881.77</v>
      </c>
      <c r="L223" s="150"/>
      <c r="M223" s="150"/>
      <c r="N223" s="427">
        <f t="shared" si="71"/>
        <v>1636935.93</v>
      </c>
      <c r="O223" s="427">
        <f t="shared" ref="O223:O225" si="75">G223*K223</f>
        <v>1636935.93</v>
      </c>
      <c r="P223" s="427"/>
      <c r="Q223" s="427"/>
      <c r="R223" s="431"/>
      <c r="S223" s="441"/>
      <c r="T223" s="149">
        <f t="shared" ref="T223:T225" si="76">H223*K223</f>
        <v>1091290.6200000001</v>
      </c>
      <c r="U223" s="149">
        <f t="shared" ref="U223:U225" si="77">I223*K223</f>
        <v>909408.85</v>
      </c>
    </row>
    <row r="224" spans="1:31" x14ac:dyDescent="0.25">
      <c r="A224" s="827"/>
      <c r="B224" s="830"/>
      <c r="C224" s="385" t="s">
        <v>32</v>
      </c>
      <c r="D224" s="19" t="s">
        <v>24</v>
      </c>
      <c r="E224" s="11">
        <v>0</v>
      </c>
      <c r="F224" s="11">
        <v>0</v>
      </c>
      <c r="G224" s="11">
        <f>2-2</f>
        <v>0</v>
      </c>
      <c r="H224" s="415">
        <f>2-2</f>
        <v>0</v>
      </c>
      <c r="I224" s="415">
        <f>2-2</f>
        <v>0</v>
      </c>
      <c r="J224" s="150">
        <f t="shared" si="74"/>
        <v>228591.46</v>
      </c>
      <c r="K224" s="150">
        <v>228591.46</v>
      </c>
      <c r="L224" s="150"/>
      <c r="M224" s="150"/>
      <c r="N224" s="427">
        <f t="shared" si="71"/>
        <v>0</v>
      </c>
      <c r="O224" s="427">
        <f t="shared" si="75"/>
        <v>0</v>
      </c>
      <c r="P224" s="427"/>
      <c r="Q224" s="427"/>
      <c r="R224" s="431"/>
      <c r="S224" s="441"/>
      <c r="T224" s="149">
        <f t="shared" si="76"/>
        <v>0</v>
      </c>
      <c r="U224" s="149">
        <f t="shared" si="77"/>
        <v>0</v>
      </c>
    </row>
    <row r="225" spans="1:31" x14ac:dyDescent="0.25">
      <c r="A225" s="827"/>
      <c r="B225" s="830"/>
      <c r="C225" s="385" t="s">
        <v>52</v>
      </c>
      <c r="D225" s="19" t="s">
        <v>24</v>
      </c>
      <c r="E225" s="11">
        <v>1</v>
      </c>
      <c r="F225" s="679">
        <f>1-1</f>
        <v>0</v>
      </c>
      <c r="G225" s="11">
        <f>1-1</f>
        <v>0</v>
      </c>
      <c r="H225" s="415">
        <f>1-1</f>
        <v>0</v>
      </c>
      <c r="I225" s="415">
        <f>1-1</f>
        <v>0</v>
      </c>
      <c r="J225" s="150">
        <f t="shared" si="74"/>
        <v>384047.72</v>
      </c>
      <c r="K225" s="150">
        <v>384047.72</v>
      </c>
      <c r="L225" s="150"/>
      <c r="M225" s="150"/>
      <c r="N225" s="427">
        <f t="shared" si="71"/>
        <v>0</v>
      </c>
      <c r="O225" s="427">
        <f t="shared" si="75"/>
        <v>0</v>
      </c>
      <c r="P225" s="427"/>
      <c r="Q225" s="427"/>
      <c r="R225" s="431"/>
      <c r="S225" s="441"/>
      <c r="T225" s="149">
        <f t="shared" si="76"/>
        <v>0</v>
      </c>
      <c r="U225" s="149">
        <f t="shared" si="77"/>
        <v>0</v>
      </c>
    </row>
    <row r="226" spans="1:31" ht="82.95" customHeight="1" x14ac:dyDescent="0.25">
      <c r="A226" s="827"/>
      <c r="B226" s="830"/>
      <c r="C226" s="405" t="s">
        <v>73</v>
      </c>
      <c r="D226" s="19" t="s">
        <v>24</v>
      </c>
      <c r="E226" s="11">
        <v>1</v>
      </c>
      <c r="F226" s="679">
        <f>1-1</f>
        <v>0</v>
      </c>
      <c r="G226" s="445">
        <v>0</v>
      </c>
      <c r="H226" s="415">
        <v>0</v>
      </c>
      <c r="I226" s="608">
        <v>0</v>
      </c>
      <c r="J226" s="150">
        <f t="shared" si="74"/>
        <v>500500.38</v>
      </c>
      <c r="K226" s="150">
        <f>498301.52+2198.86</f>
        <v>500500.38</v>
      </c>
      <c r="L226" s="384">
        <v>0</v>
      </c>
      <c r="M226" s="437" t="s">
        <v>630</v>
      </c>
      <c r="N226" s="14">
        <f t="shared" si="71"/>
        <v>0</v>
      </c>
      <c r="O226" s="427">
        <f>G226*K226</f>
        <v>0</v>
      </c>
      <c r="P226" s="427">
        <v>0</v>
      </c>
      <c r="Q226" s="427"/>
      <c r="R226" s="437">
        <f>G226*56222.49</f>
        <v>0</v>
      </c>
      <c r="S226" s="441"/>
      <c r="T226" s="149">
        <f>H226*K226</f>
        <v>0</v>
      </c>
      <c r="U226" s="149">
        <f>I226*K226</f>
        <v>0</v>
      </c>
    </row>
    <row r="227" spans="1:31" ht="82.95" customHeight="1" x14ac:dyDescent="0.25">
      <c r="A227" s="827"/>
      <c r="B227" s="830"/>
      <c r="C227" s="405" t="s">
        <v>74</v>
      </c>
      <c r="D227" s="19" t="s">
        <v>24</v>
      </c>
      <c r="E227" s="11"/>
      <c r="F227" s="11"/>
      <c r="G227" s="11">
        <v>0</v>
      </c>
      <c r="H227" s="415">
        <v>0</v>
      </c>
      <c r="I227" s="415">
        <v>0</v>
      </c>
      <c r="J227" s="150">
        <f t="shared" si="74"/>
        <v>43951.44</v>
      </c>
      <c r="K227" s="150">
        <v>43951.44</v>
      </c>
      <c r="L227" s="427" t="s">
        <v>26</v>
      </c>
      <c r="M227" s="14" t="s">
        <v>26</v>
      </c>
      <c r="N227" s="427">
        <f t="shared" si="71"/>
        <v>0</v>
      </c>
      <c r="O227" s="427">
        <f>G227*K227</f>
        <v>0</v>
      </c>
      <c r="P227" s="427" t="s">
        <v>26</v>
      </c>
      <c r="Q227" s="427"/>
      <c r="R227" s="431" t="s">
        <v>26</v>
      </c>
      <c r="S227" s="441"/>
      <c r="T227" s="149">
        <f>H227*K227</f>
        <v>0</v>
      </c>
      <c r="U227" s="149">
        <f>I227*K227</f>
        <v>0</v>
      </c>
    </row>
    <row r="228" spans="1:31" ht="13.95" customHeight="1" x14ac:dyDescent="0.25">
      <c r="A228" s="827"/>
      <c r="B228" s="830"/>
      <c r="C228" s="416" t="s">
        <v>58</v>
      </c>
      <c r="D228" s="19" t="s">
        <v>59</v>
      </c>
      <c r="E228" s="11">
        <v>5</v>
      </c>
      <c r="F228" s="11">
        <v>5</v>
      </c>
      <c r="G228" s="11">
        <v>5</v>
      </c>
      <c r="H228" s="415">
        <v>5</v>
      </c>
      <c r="I228" s="415">
        <v>5</v>
      </c>
      <c r="J228" s="150">
        <f t="shared" si="74"/>
        <v>234360</v>
      </c>
      <c r="K228" s="150">
        <f>10000*1.5*1.302*12</f>
        <v>234360</v>
      </c>
      <c r="L228" s="427"/>
      <c r="M228" s="14"/>
      <c r="N228" s="478">
        <f t="shared" si="71"/>
        <v>1171800</v>
      </c>
      <c r="O228" s="14">
        <f>G228*K228</f>
        <v>1171800</v>
      </c>
      <c r="P228" s="427"/>
      <c r="Q228" s="427"/>
      <c r="R228" s="431"/>
      <c r="S228" s="441"/>
      <c r="T228" s="149">
        <f>H228*K228-1171800</f>
        <v>0</v>
      </c>
      <c r="U228" s="149">
        <f>I228*K228-1171800</f>
        <v>0</v>
      </c>
    </row>
    <row r="229" spans="1:31" ht="25.2" customHeight="1" x14ac:dyDescent="0.25">
      <c r="A229" s="827"/>
      <c r="B229" s="831"/>
      <c r="C229" s="417" t="s">
        <v>38</v>
      </c>
      <c r="D229" s="19"/>
      <c r="E229" s="11" t="s">
        <v>459</v>
      </c>
      <c r="F229" s="679" t="s">
        <v>519</v>
      </c>
      <c r="G229" s="605" t="s">
        <v>610</v>
      </c>
      <c r="H229" s="605" t="s">
        <v>611</v>
      </c>
      <c r="I229" s="605" t="s">
        <v>612</v>
      </c>
      <c r="J229" s="427" t="s">
        <v>26</v>
      </c>
      <c r="K229" s="427" t="s">
        <v>26</v>
      </c>
      <c r="L229" s="427" t="s">
        <v>26</v>
      </c>
      <c r="M229" s="14" t="s">
        <v>26</v>
      </c>
      <c r="N229" s="418">
        <f>SUM(O229:R229)</f>
        <v>14473499.869999999</v>
      </c>
      <c r="O229" s="427">
        <f>SUM(O218:O228)</f>
        <v>8370351.0599999996</v>
      </c>
      <c r="P229" s="427">
        <f>SUM(P218:P227)</f>
        <v>1661572.1</v>
      </c>
      <c r="Q229" s="427"/>
      <c r="R229" s="772">
        <f>SUM(R218:R227)</f>
        <v>4441576.71</v>
      </c>
      <c r="S229" s="428"/>
      <c r="T229" s="442">
        <f>SUM(T218:T228)</f>
        <v>11996577.01</v>
      </c>
      <c r="U229" s="428">
        <f>SUM(U218:U228)</f>
        <v>11163404.300000001</v>
      </c>
    </row>
    <row r="230" spans="1:31" ht="193.2" x14ac:dyDescent="0.25">
      <c r="A230" s="827"/>
      <c r="B230" s="829" t="s">
        <v>312</v>
      </c>
      <c r="C230" s="405" t="s">
        <v>69</v>
      </c>
      <c r="D230" s="19" t="s">
        <v>70</v>
      </c>
      <c r="E230" s="11" t="s">
        <v>460</v>
      </c>
      <c r="F230" s="679" t="s">
        <v>522</v>
      </c>
      <c r="G230" s="11" t="s">
        <v>616</v>
      </c>
      <c r="H230" s="11" t="s">
        <v>617</v>
      </c>
      <c r="I230" s="11" t="s">
        <v>618</v>
      </c>
      <c r="J230" s="384" t="s">
        <v>594</v>
      </c>
      <c r="K230" s="384" t="s">
        <v>595</v>
      </c>
      <c r="L230" s="384" t="s">
        <v>600</v>
      </c>
      <c r="M230" s="437" t="s">
        <v>630</v>
      </c>
      <c r="N230" s="14">
        <f>SUM(O230:R230)</f>
        <v>6509582.3399999999</v>
      </c>
      <c r="O230" s="14">
        <f>((((1507123.31*2)/12*8+(1507123.31*2)/12*4)+((2750.57*48)/12*8+(2750.57*48)/12*4)))</f>
        <v>3146273.98</v>
      </c>
      <c r="P230" s="14">
        <f>((332314.42*2)/12*8)+((332314.42*2)/12*4)</f>
        <v>664628.84</v>
      </c>
      <c r="Q230" s="427"/>
      <c r="R230" s="646">
        <f>((56222.49*48)/12*8)+((56222.49*48)/12*4)</f>
        <v>2698679.52</v>
      </c>
      <c r="S230" s="428"/>
      <c r="T230" s="149">
        <f>W230</f>
        <v>6922393.7599999998</v>
      </c>
      <c r="U230" s="149">
        <f>AB230</f>
        <v>6568555.4000000004</v>
      </c>
      <c r="V230" s="33"/>
      <c r="W230" s="418">
        <f>SUM(X230:Z230)</f>
        <v>6922393.7599999998</v>
      </c>
      <c r="X230" s="478">
        <f>((((1507123.31*2)/12*8+(1507123.31*2)/12*4)+((2750.57*55)/12*8+(2750.57*55)/12*4)))</f>
        <v>3165527.97</v>
      </c>
      <c r="Y230" s="478">
        <f>((332314.42*2)/12*8)+((332314.42*2)/12*4)</f>
        <v>664628.84</v>
      </c>
      <c r="Z230" s="632">
        <f>((56222.49*55)/12*8)+((56222.49*55)/12*4)</f>
        <v>3092236.95</v>
      </c>
      <c r="AB230" s="418">
        <f>SUM(AC230:AE230)</f>
        <v>6568555.4000000004</v>
      </c>
      <c r="AC230" s="478">
        <f>((((1507123.31*2)/12*8+(1507123.31*2)/12*4)+((2750.57*49)/12*8+(2750.57*49)/12*4)))</f>
        <v>3149024.55</v>
      </c>
      <c r="AD230" s="478">
        <f>((332314.42*2)/12*8)+((332314.42*2)/12*4)</f>
        <v>664628.84</v>
      </c>
      <c r="AE230" s="632">
        <f>((56222.49*49)/12*8)+((56222.49*49)/12*4)</f>
        <v>2754902.01</v>
      </c>
    </row>
    <row r="231" spans="1:31" ht="179.4" x14ac:dyDescent="0.25">
      <c r="A231" s="827"/>
      <c r="B231" s="830"/>
      <c r="C231" s="405" t="s">
        <v>71</v>
      </c>
      <c r="D231" s="19" t="s">
        <v>70</v>
      </c>
      <c r="E231" s="606" t="s">
        <v>473</v>
      </c>
      <c r="F231" s="683" t="s">
        <v>523</v>
      </c>
      <c r="G231" s="443" t="s">
        <v>523</v>
      </c>
      <c r="H231" s="443" t="s">
        <v>523</v>
      </c>
      <c r="I231" s="443" t="s">
        <v>523</v>
      </c>
      <c r="J231" s="384" t="s">
        <v>596</v>
      </c>
      <c r="K231" s="384" t="s">
        <v>597</v>
      </c>
      <c r="L231" s="384" t="s">
        <v>600</v>
      </c>
      <c r="M231" s="437" t="s">
        <v>630</v>
      </c>
      <c r="N231" s="427">
        <f>SUM(O231:R231)</f>
        <v>9371499.5999999996</v>
      </c>
      <c r="O231" s="478">
        <f>((((1273397.23*4)/12*8+(1273397.23*4)/12*4)+((2750.57*50)/12*8+(2750.57*50)/12*4)))</f>
        <v>5231117.42</v>
      </c>
      <c r="P231" s="478">
        <f>((332314.42*4)/12*8)+((332314.42*4)/12*4)</f>
        <v>1329257.68</v>
      </c>
      <c r="Q231" s="427"/>
      <c r="R231" s="773">
        <f>((56222.49*50)/12*8)+((56222.49*50)/12*4)</f>
        <v>2811124.5</v>
      </c>
      <c r="S231" s="428"/>
      <c r="T231" s="340">
        <f>W231</f>
        <v>9371499.5999999996</v>
      </c>
      <c r="U231" s="340">
        <f>AB231</f>
        <v>9371499.5999999996</v>
      </c>
      <c r="W231" s="418">
        <f>SUM(X231:Z231)</f>
        <v>9371499.5999999996</v>
      </c>
      <c r="X231" s="478">
        <f>((((1273397.23*4)/12*8+(1273397.23*4)/12*4)+((2750.57*50)/12*8+(2750.57*50)/12*4)))</f>
        <v>5231117.42</v>
      </c>
      <c r="Y231" s="478">
        <f>((332314.42*4)/12*8)+((332314.42*4)/12*4)</f>
        <v>1329257.68</v>
      </c>
      <c r="Z231" s="632">
        <f>((56222.49*50)/12*8)+((56222.49*50)/12*4)</f>
        <v>2811124.5</v>
      </c>
      <c r="AB231" s="418">
        <f>SUM(AC231:AE231)</f>
        <v>9371499.5999999996</v>
      </c>
      <c r="AC231" s="478">
        <f>((((1273397.23*4)/12*8+(1273397.23*4)/12*4)+((2750.57*50)/12*8+(2750.57*50)/12*4)))</f>
        <v>5231117.42</v>
      </c>
      <c r="AD231" s="478">
        <f>((332314.42*4)/12*8)+((332314.42*4)/12*4)</f>
        <v>1329257.68</v>
      </c>
      <c r="AE231" s="632">
        <f>((56222.49*50)/12*8)+((56222.49*50)/12*4)</f>
        <v>2811124.5</v>
      </c>
    </row>
    <row r="232" spans="1:31" ht="82.8" x14ac:dyDescent="0.25">
      <c r="A232" s="827"/>
      <c r="B232" s="831"/>
      <c r="C232" s="405" t="s">
        <v>25</v>
      </c>
      <c r="D232" s="19" t="s">
        <v>24</v>
      </c>
      <c r="E232" s="10" t="s">
        <v>26</v>
      </c>
      <c r="F232" s="10" t="s">
        <v>26</v>
      </c>
      <c r="G232" s="10" t="s">
        <v>26</v>
      </c>
      <c r="H232" s="426" t="s">
        <v>26</v>
      </c>
      <c r="I232" s="426" t="s">
        <v>26</v>
      </c>
      <c r="J232" s="426" t="s">
        <v>26</v>
      </c>
      <c r="K232" s="426" t="s">
        <v>26</v>
      </c>
      <c r="L232" s="426" t="s">
        <v>26</v>
      </c>
      <c r="M232" s="415" t="s">
        <v>26</v>
      </c>
      <c r="N232" s="427"/>
      <c r="O232" s="427"/>
      <c r="P232" s="426" t="s">
        <v>26</v>
      </c>
      <c r="Q232" s="426"/>
      <c r="R232" s="415" t="s">
        <v>26</v>
      </c>
      <c r="S232" s="10"/>
      <c r="T232" s="149"/>
      <c r="U232" s="149"/>
    </row>
    <row r="233" spans="1:31" x14ac:dyDescent="0.25">
      <c r="A233" s="827"/>
      <c r="B233" s="402"/>
      <c r="C233" s="684" t="s">
        <v>57</v>
      </c>
      <c r="D233" s="19" t="s">
        <v>24</v>
      </c>
      <c r="E233" s="443">
        <v>0</v>
      </c>
      <c r="F233" s="683">
        <v>2</v>
      </c>
      <c r="G233" s="11">
        <v>1</v>
      </c>
      <c r="H233" s="444">
        <f>4-1</f>
        <v>3</v>
      </c>
      <c r="I233" s="444">
        <f>6-3</f>
        <v>3</v>
      </c>
      <c r="J233" s="150">
        <f>K233</f>
        <v>98117.04</v>
      </c>
      <c r="K233" s="150">
        <v>98117.04</v>
      </c>
      <c r="L233" s="426" t="s">
        <v>26</v>
      </c>
      <c r="M233" s="415" t="s">
        <v>26</v>
      </c>
      <c r="N233" s="427">
        <f>O233</f>
        <v>98117.04</v>
      </c>
      <c r="O233" s="395">
        <f>G233*K233</f>
        <v>98117.04</v>
      </c>
      <c r="P233" s="426" t="s">
        <v>26</v>
      </c>
      <c r="Q233" s="426"/>
      <c r="R233" s="415" t="s">
        <v>26</v>
      </c>
      <c r="S233" s="10"/>
      <c r="T233" s="149">
        <f>H233*K233</f>
        <v>294351.12</v>
      </c>
      <c r="U233" s="149">
        <f>I233*K233</f>
        <v>294351.12</v>
      </c>
    </row>
    <row r="234" spans="1:31" x14ac:dyDescent="0.25">
      <c r="A234" s="827"/>
      <c r="B234" s="402"/>
      <c r="C234" s="385" t="s">
        <v>31</v>
      </c>
      <c r="D234" s="19" t="s">
        <v>24</v>
      </c>
      <c r="E234" s="606">
        <f>2-2</f>
        <v>0</v>
      </c>
      <c r="F234" s="606">
        <f>2-2</f>
        <v>0</v>
      </c>
      <c r="G234" s="11">
        <v>0</v>
      </c>
      <c r="H234" s="444">
        <f>2-2</f>
        <v>0</v>
      </c>
      <c r="I234" s="444">
        <f>2-2</f>
        <v>0</v>
      </c>
      <c r="J234" s="150">
        <f t="shared" ref="J234:J235" si="78">K234</f>
        <v>347664.17</v>
      </c>
      <c r="K234" s="150">
        <v>347664.17</v>
      </c>
      <c r="L234" s="426" t="s">
        <v>26</v>
      </c>
      <c r="M234" s="415" t="s">
        <v>26</v>
      </c>
      <c r="N234" s="427">
        <f t="shared" ref="N234:N235" si="79">O234</f>
        <v>0</v>
      </c>
      <c r="O234" s="395">
        <f t="shared" ref="O234:O235" si="80">G234*K234</f>
        <v>0</v>
      </c>
      <c r="P234" s="426" t="s">
        <v>26</v>
      </c>
      <c r="Q234" s="426"/>
      <c r="R234" s="415" t="s">
        <v>26</v>
      </c>
      <c r="S234" s="10"/>
      <c r="T234" s="149">
        <f t="shared" ref="T234:T235" si="81">H234*K234</f>
        <v>0</v>
      </c>
      <c r="U234" s="149">
        <f t="shared" ref="U234:U235" si="82">I234*K234</f>
        <v>0</v>
      </c>
    </row>
    <row r="235" spans="1:31" x14ac:dyDescent="0.25">
      <c r="A235" s="827"/>
      <c r="B235" s="402"/>
      <c r="C235" s="684" t="s">
        <v>52</v>
      </c>
      <c r="D235" s="19" t="s">
        <v>24</v>
      </c>
      <c r="E235" s="606">
        <v>0</v>
      </c>
      <c r="F235" s="683">
        <v>1</v>
      </c>
      <c r="G235" s="11">
        <v>0</v>
      </c>
      <c r="H235" s="444">
        <f>5-5</f>
        <v>0</v>
      </c>
      <c r="I235" s="444">
        <f>5-5</f>
        <v>0</v>
      </c>
      <c r="J235" s="150">
        <f t="shared" si="78"/>
        <v>476428.95</v>
      </c>
      <c r="K235" s="150">
        <v>476428.95</v>
      </c>
      <c r="L235" s="426" t="s">
        <v>26</v>
      </c>
      <c r="M235" s="415" t="s">
        <v>26</v>
      </c>
      <c r="N235" s="427">
        <f t="shared" si="79"/>
        <v>0</v>
      </c>
      <c r="O235" s="395">
        <f t="shared" si="80"/>
        <v>0</v>
      </c>
      <c r="P235" s="426" t="s">
        <v>26</v>
      </c>
      <c r="Q235" s="426"/>
      <c r="R235" s="415" t="s">
        <v>26</v>
      </c>
      <c r="S235" s="10"/>
      <c r="T235" s="149">
        <f t="shared" si="81"/>
        <v>0</v>
      </c>
      <c r="U235" s="149">
        <f t="shared" si="82"/>
        <v>0</v>
      </c>
    </row>
    <row r="236" spans="1:31" x14ac:dyDescent="0.25">
      <c r="A236" s="827"/>
      <c r="B236" s="402"/>
      <c r="C236" s="385" t="s">
        <v>34</v>
      </c>
      <c r="D236" s="19" t="s">
        <v>24</v>
      </c>
      <c r="E236" s="606">
        <v>1</v>
      </c>
      <c r="F236" s="683">
        <f>1-1</f>
        <v>0</v>
      </c>
      <c r="G236" s="11">
        <v>0</v>
      </c>
      <c r="H236" s="444">
        <v>1</v>
      </c>
      <c r="I236" s="444">
        <v>3</v>
      </c>
      <c r="J236" s="150">
        <f>K236</f>
        <v>20612.03</v>
      </c>
      <c r="K236" s="150">
        <v>20612.03</v>
      </c>
      <c r="L236" s="426" t="s">
        <v>26</v>
      </c>
      <c r="M236" s="415" t="s">
        <v>26</v>
      </c>
      <c r="N236" s="427">
        <f>O236</f>
        <v>0</v>
      </c>
      <c r="O236" s="395">
        <f>G236*K236</f>
        <v>0</v>
      </c>
      <c r="P236" s="426" t="s">
        <v>26</v>
      </c>
      <c r="Q236" s="426"/>
      <c r="R236" s="415" t="s">
        <v>26</v>
      </c>
      <c r="S236" s="10"/>
      <c r="T236" s="149">
        <f>H236*K236</f>
        <v>20612.03</v>
      </c>
      <c r="U236" s="149">
        <f>I236*K236</f>
        <v>61836.09</v>
      </c>
    </row>
    <row r="237" spans="1:31" ht="82.95" customHeight="1" x14ac:dyDescent="0.25">
      <c r="A237" s="827"/>
      <c r="B237" s="402"/>
      <c r="C237" s="405" t="s">
        <v>73</v>
      </c>
      <c r="D237" s="19" t="s">
        <v>24</v>
      </c>
      <c r="E237" s="606">
        <v>0</v>
      </c>
      <c r="F237" s="683">
        <v>1</v>
      </c>
      <c r="G237" s="605">
        <f>1</f>
        <v>1</v>
      </c>
      <c r="H237" s="444">
        <v>1</v>
      </c>
      <c r="I237" s="444">
        <v>1</v>
      </c>
      <c r="J237" s="150">
        <f>SUM(K237:M237)</f>
        <v>564313.44999999995</v>
      </c>
      <c r="K237" s="150">
        <f>561562.88+2750.57</f>
        <v>564313.44999999995</v>
      </c>
      <c r="L237" s="384"/>
      <c r="M237" s="437" t="s">
        <v>627</v>
      </c>
      <c r="N237" s="395">
        <f>SUM(O237:R237)</f>
        <v>624537.93000000005</v>
      </c>
      <c r="O237" s="395">
        <f>G237*K237</f>
        <v>564313.44999999995</v>
      </c>
      <c r="P237" s="803">
        <f>G237*4001.99</f>
        <v>4001.99</v>
      </c>
      <c r="Q237" s="395"/>
      <c r="R237" s="646">
        <f>((56222.49*1)/12*8)+((56222.49*1)/12*4)</f>
        <v>56222.49</v>
      </c>
      <c r="S237" s="396"/>
      <c r="T237" s="149">
        <f>W237</f>
        <v>532524.06000000006</v>
      </c>
      <c r="U237" s="149">
        <f>AB237</f>
        <v>532524.06000000006</v>
      </c>
      <c r="W237" s="413">
        <f>SUM(X237:Z237)</f>
        <v>532524.06000000006</v>
      </c>
      <c r="X237" s="14">
        <f>((472299.58*1)/12*8)+(472299.58*1)/12*4</f>
        <v>472299.58</v>
      </c>
      <c r="Y237" s="449">
        <f>4001.99*1</f>
        <v>4001.99</v>
      </c>
      <c r="Z237" s="776">
        <f>56222.49*1</f>
        <v>56222.49</v>
      </c>
      <c r="AB237" s="413">
        <f>SUM(AC237:AE237)</f>
        <v>532524.06000000006</v>
      </c>
      <c r="AC237" s="14">
        <f>((472299.58*1)/12*8)+(472299.58*1)/12*4</f>
        <v>472299.58</v>
      </c>
      <c r="AD237" s="449">
        <f>4001.99*1</f>
        <v>4001.99</v>
      </c>
      <c r="AE237" s="776">
        <f>56222.49*1</f>
        <v>56222.49</v>
      </c>
    </row>
    <row r="238" spans="1:31" ht="82.95" customHeight="1" x14ac:dyDescent="0.25">
      <c r="A238" s="827"/>
      <c r="B238" s="402"/>
      <c r="C238" s="405" t="s">
        <v>74</v>
      </c>
      <c r="D238" s="19" t="s">
        <v>24</v>
      </c>
      <c r="E238" s="606">
        <v>2</v>
      </c>
      <c r="F238" s="683">
        <f>2+1</f>
        <v>3</v>
      </c>
      <c r="G238" s="11">
        <f>2-2</f>
        <v>0</v>
      </c>
      <c r="H238" s="444">
        <f>3-3</f>
        <v>0</v>
      </c>
      <c r="I238" s="444">
        <f>3-3</f>
        <v>0</v>
      </c>
      <c r="J238" s="150">
        <f>K238</f>
        <v>64799.67</v>
      </c>
      <c r="K238" s="150">
        <f>62049.1+2750.57</f>
        <v>64799.67</v>
      </c>
      <c r="L238" s="395"/>
      <c r="M238" s="150"/>
      <c r="N238" s="395">
        <f>O238</f>
        <v>0</v>
      </c>
      <c r="O238" s="395">
        <f>G238*K238</f>
        <v>0</v>
      </c>
      <c r="P238" s="395"/>
      <c r="Q238" s="395"/>
      <c r="R238" s="150"/>
      <c r="S238" s="396"/>
      <c r="T238" s="149">
        <f>H238*K238</f>
        <v>0</v>
      </c>
      <c r="U238" s="149">
        <f>I238*K238</f>
        <v>0</v>
      </c>
      <c r="W238" s="778" t="s">
        <v>581</v>
      </c>
    </row>
    <row r="239" spans="1:31" ht="13.95" customHeight="1" x14ac:dyDescent="0.25">
      <c r="A239" s="827"/>
      <c r="B239" s="402"/>
      <c r="C239" s="416" t="s">
        <v>58</v>
      </c>
      <c r="D239" s="19" t="s">
        <v>59</v>
      </c>
      <c r="E239" s="606">
        <v>6</v>
      </c>
      <c r="F239" s="606">
        <v>6</v>
      </c>
      <c r="G239" s="11">
        <v>6</v>
      </c>
      <c r="H239" s="444">
        <v>6</v>
      </c>
      <c r="I239" s="444">
        <v>6</v>
      </c>
      <c r="J239" s="150">
        <f>K239</f>
        <v>234360</v>
      </c>
      <c r="K239" s="150">
        <f>10000*1.5*1.302*12</f>
        <v>234360</v>
      </c>
      <c r="L239" s="395"/>
      <c r="M239" s="150"/>
      <c r="N239" s="449">
        <f>O239</f>
        <v>1406160</v>
      </c>
      <c r="O239" s="150">
        <f>G239*K239</f>
        <v>1406160</v>
      </c>
      <c r="P239" s="395"/>
      <c r="Q239" s="395"/>
      <c r="R239" s="150"/>
      <c r="S239" s="396"/>
      <c r="T239" s="149">
        <f>H239*K239-1406160</f>
        <v>0</v>
      </c>
      <c r="U239" s="149">
        <f>I239*K239-1406160</f>
        <v>0</v>
      </c>
    </row>
    <row r="240" spans="1:31" ht="31.95" customHeight="1" x14ac:dyDescent="0.25">
      <c r="A240" s="827"/>
      <c r="B240" s="402"/>
      <c r="C240" s="420" t="s">
        <v>527</v>
      </c>
      <c r="D240" s="19"/>
      <c r="E240" s="606" t="s">
        <v>524</v>
      </c>
      <c r="F240" s="683" t="s">
        <v>524</v>
      </c>
      <c r="G240" s="607" t="s">
        <v>613</v>
      </c>
      <c r="H240" s="607" t="s">
        <v>614</v>
      </c>
      <c r="I240" s="607" t="s">
        <v>615</v>
      </c>
      <c r="J240" s="395" t="s">
        <v>26</v>
      </c>
      <c r="K240" s="395" t="s">
        <v>26</v>
      </c>
      <c r="L240" s="395" t="s">
        <v>26</v>
      </c>
      <c r="M240" s="150" t="s">
        <v>26</v>
      </c>
      <c r="N240" s="413">
        <f>SUM(O240:R240)</f>
        <v>18009896.91</v>
      </c>
      <c r="O240" s="395">
        <f>SUM(O230:O239)</f>
        <v>10445981.890000001</v>
      </c>
      <c r="P240" s="395">
        <f>SUM(P230:P238)</f>
        <v>1997888.51</v>
      </c>
      <c r="Q240" s="395"/>
      <c r="R240" s="645">
        <f>SUM(R230:R238)</f>
        <v>5566026.5099999998</v>
      </c>
      <c r="S240" s="396"/>
      <c r="T240" s="428">
        <f>SUM(T230:T239)</f>
        <v>17141380.57</v>
      </c>
      <c r="U240" s="396">
        <f>T240</f>
        <v>17141380.57</v>
      </c>
      <c r="V240" s="25"/>
      <c r="W240" s="398" t="s">
        <v>437</v>
      </c>
      <c r="Z240" s="398" t="s">
        <v>350</v>
      </c>
      <c r="AB240" s="398" t="s">
        <v>560</v>
      </c>
      <c r="AE240" s="398" t="s">
        <v>350</v>
      </c>
    </row>
    <row r="241" spans="1:31" ht="179.4" x14ac:dyDescent="0.25">
      <c r="A241" s="827"/>
      <c r="B241" s="404" t="s">
        <v>113</v>
      </c>
      <c r="C241" s="405" t="s">
        <v>71</v>
      </c>
      <c r="D241" s="19" t="s">
        <v>70</v>
      </c>
      <c r="E241" s="11" t="s">
        <v>461</v>
      </c>
      <c r="F241" s="679" t="s">
        <v>525</v>
      </c>
      <c r="G241" s="11" t="s">
        <v>526</v>
      </c>
      <c r="H241" s="11" t="s">
        <v>619</v>
      </c>
      <c r="I241" s="11" t="s">
        <v>526</v>
      </c>
      <c r="J241" s="14" t="s">
        <v>598</v>
      </c>
      <c r="K241" s="384" t="s">
        <v>599</v>
      </c>
      <c r="L241" s="384" t="s">
        <v>600</v>
      </c>
      <c r="M241" s="437" t="s">
        <v>630</v>
      </c>
      <c r="N241" s="150">
        <f>SUM(O241:R241)</f>
        <v>4111157.68</v>
      </c>
      <c r="O241" s="427">
        <f>((((1428519.97*2)/12*8+(1428519.97*2)/12*4)+((2726.4*10)/12*8+(2726.4*10)/12*4)))</f>
        <v>2884303.94</v>
      </c>
      <c r="P241" s="395">
        <f>((332314.42*2)/12*8)+((332314.42*2)/12*4)</f>
        <v>664628.84</v>
      </c>
      <c r="Q241" s="395"/>
      <c r="R241" s="774">
        <f>56222.49*10</f>
        <v>562224.9</v>
      </c>
      <c r="S241" s="149"/>
      <c r="T241" s="149">
        <f>W241</f>
        <v>4523799.91</v>
      </c>
      <c r="U241" s="149">
        <f>AB241</f>
        <v>4000386.21</v>
      </c>
      <c r="W241" s="413">
        <f>SUM(X241:Z241)</f>
        <v>4523799.91</v>
      </c>
      <c r="X241" s="14">
        <f>((((1428519.97*2)/12*8+(1428519.97*2)/12*4)+((2726.4*17)/12*8+(2726.4*17)/12*4)))</f>
        <v>2903388.74</v>
      </c>
      <c r="Y241" s="449">
        <f>((332314.42*2)/12*8)+((332314.42*2)/12*4)</f>
        <v>664628.84</v>
      </c>
      <c r="Z241" s="776">
        <f>56222.49*17</f>
        <v>955782.33</v>
      </c>
      <c r="AB241" s="413">
        <f>SUM(AC241:AE241)</f>
        <v>4000386.21</v>
      </c>
      <c r="AC241" s="491">
        <f>((((1428519.97*2)/12*8+(1428519.97*2)/12*4)+((2726.4*10)/12*8+(2726.4*10)/12*4)))</f>
        <v>2884303.94</v>
      </c>
      <c r="AD241" s="449">
        <f>((332314.42*2)/12*8)+((332314.42)/12*4)</f>
        <v>553857.37</v>
      </c>
      <c r="AE241" s="776">
        <f>56222.49*10</f>
        <v>562224.9</v>
      </c>
    </row>
    <row r="242" spans="1:31" ht="82.8" x14ac:dyDescent="0.25">
      <c r="A242" s="827"/>
      <c r="B242" s="402"/>
      <c r="C242" s="405" t="s">
        <v>25</v>
      </c>
      <c r="D242" s="19" t="s">
        <v>24</v>
      </c>
      <c r="E242" s="11"/>
      <c r="F242" s="11"/>
      <c r="G242" s="11"/>
      <c r="H242" s="415"/>
      <c r="I242" s="415"/>
      <c r="J242" s="384"/>
      <c r="K242" s="384"/>
      <c r="L242" s="384"/>
      <c r="M242" s="14"/>
      <c r="N242" s="395"/>
      <c r="O242" s="427"/>
      <c r="P242" s="395"/>
      <c r="Q242" s="395"/>
      <c r="R242" s="150"/>
      <c r="S242" s="149"/>
      <c r="T242" s="149"/>
      <c r="U242" s="149"/>
    </row>
    <row r="243" spans="1:31" x14ac:dyDescent="0.25">
      <c r="A243" s="827"/>
      <c r="B243" s="402"/>
      <c r="C243" s="385" t="s">
        <v>29</v>
      </c>
      <c r="D243" s="19" t="s">
        <v>24</v>
      </c>
      <c r="E243" s="11"/>
      <c r="F243" s="11"/>
      <c r="G243" s="10">
        <v>0</v>
      </c>
      <c r="H243" s="415"/>
      <c r="I243" s="415"/>
      <c r="J243" s="384">
        <f>K243</f>
        <v>136956.54999999999</v>
      </c>
      <c r="K243" s="384">
        <v>136956.54999999999</v>
      </c>
      <c r="L243" s="384"/>
      <c r="M243" s="14"/>
      <c r="N243" s="395">
        <f>O243</f>
        <v>0</v>
      </c>
      <c r="O243" s="427">
        <f>K243*G243</f>
        <v>0</v>
      </c>
      <c r="P243" s="395"/>
      <c r="Q243" s="395"/>
      <c r="R243" s="150"/>
      <c r="S243" s="149"/>
      <c r="T243" s="149">
        <f>H243*K243</f>
        <v>0</v>
      </c>
      <c r="U243" s="149">
        <f>I243*K243</f>
        <v>0</v>
      </c>
    </row>
    <row r="244" spans="1:31" x14ac:dyDescent="0.25">
      <c r="A244" s="827"/>
      <c r="B244" s="402"/>
      <c r="C244" s="385" t="s">
        <v>34</v>
      </c>
      <c r="D244" s="19" t="s">
        <v>24</v>
      </c>
      <c r="E244" s="11"/>
      <c r="F244" s="11"/>
      <c r="G244" s="10">
        <v>0</v>
      </c>
      <c r="H244" s="415"/>
      <c r="I244" s="415"/>
      <c r="J244" s="384">
        <f>K244</f>
        <v>20612.03</v>
      </c>
      <c r="K244" s="384">
        <v>20612.03</v>
      </c>
      <c r="L244" s="384"/>
      <c r="M244" s="14"/>
      <c r="N244" s="395">
        <f>O244</f>
        <v>0</v>
      </c>
      <c r="O244" s="427">
        <f>K244*G244</f>
        <v>0</v>
      </c>
      <c r="P244" s="395"/>
      <c r="Q244" s="395"/>
      <c r="R244" s="150"/>
      <c r="S244" s="149"/>
      <c r="T244" s="149">
        <f>H244*K244</f>
        <v>0</v>
      </c>
      <c r="U244" s="149">
        <f>I244*K244</f>
        <v>0</v>
      </c>
    </row>
    <row r="245" spans="1:31" ht="13.95" customHeight="1" x14ac:dyDescent="0.25">
      <c r="A245" s="827"/>
      <c r="B245" s="402"/>
      <c r="C245" s="416" t="s">
        <v>58</v>
      </c>
      <c r="D245" s="19" t="s">
        <v>59</v>
      </c>
      <c r="E245" s="11">
        <v>2</v>
      </c>
      <c r="F245" s="11">
        <v>2</v>
      </c>
      <c r="G245" s="11">
        <v>2</v>
      </c>
      <c r="H245" s="415">
        <v>2</v>
      </c>
      <c r="I245" s="415">
        <v>2</v>
      </c>
      <c r="J245" s="384">
        <f>K245</f>
        <v>234360</v>
      </c>
      <c r="K245" s="384">
        <f>10000*1.5*1.302*12</f>
        <v>234360</v>
      </c>
      <c r="L245" s="384"/>
      <c r="M245" s="14"/>
      <c r="N245" s="449">
        <f>O245</f>
        <v>468720</v>
      </c>
      <c r="O245" s="14">
        <f>K245*G245</f>
        <v>468720</v>
      </c>
      <c r="P245" s="395"/>
      <c r="Q245" s="395"/>
      <c r="R245" s="150"/>
      <c r="S245" s="149"/>
      <c r="T245" s="149">
        <f>H245*K245-468720</f>
        <v>0</v>
      </c>
      <c r="U245" s="149">
        <f>I245*K245-468720</f>
        <v>0</v>
      </c>
    </row>
    <row r="246" spans="1:31" ht="25.95" customHeight="1" x14ac:dyDescent="0.25">
      <c r="A246" s="827"/>
      <c r="B246" s="402"/>
      <c r="C246" s="420" t="s">
        <v>38</v>
      </c>
      <c r="D246" s="19"/>
      <c r="E246" s="11" t="str">
        <f>E241</f>
        <v>2\15</v>
      </c>
      <c r="F246" s="679" t="str">
        <f>F241</f>
        <v>2\9</v>
      </c>
      <c r="G246" s="605" t="str">
        <f>G241</f>
        <v>2\10</v>
      </c>
      <c r="H246" s="608" t="str">
        <f>H241</f>
        <v>2\17</v>
      </c>
      <c r="I246" s="608" t="str">
        <f>I241</f>
        <v>2\10</v>
      </c>
      <c r="J246" s="395" t="s">
        <v>26</v>
      </c>
      <c r="K246" s="395" t="s">
        <v>26</v>
      </c>
      <c r="L246" s="395" t="s">
        <v>26</v>
      </c>
      <c r="M246" s="150" t="s">
        <v>26</v>
      </c>
      <c r="N246" s="342">
        <f>SUM(N241:N245)</f>
        <v>4579877.68</v>
      </c>
      <c r="O246" s="150">
        <f>SUM(O241:O245)</f>
        <v>3353023.94</v>
      </c>
      <c r="P246" s="395">
        <f>SUM(P241:P244)</f>
        <v>664628.84</v>
      </c>
      <c r="Q246" s="395"/>
      <c r="R246" s="645">
        <f>SUM(R241:R244)</f>
        <v>562224.9</v>
      </c>
      <c r="S246" s="396"/>
      <c r="T246" s="396">
        <f>SUM(T241:T245)</f>
        <v>4523799.91</v>
      </c>
      <c r="U246" s="396">
        <f>SUM(U241:U245)</f>
        <v>4000386.21</v>
      </c>
    </row>
    <row r="247" spans="1:31" ht="57" customHeight="1" x14ac:dyDescent="0.25">
      <c r="A247" s="827"/>
      <c r="B247" s="834" t="s">
        <v>115</v>
      </c>
      <c r="C247" s="832" t="s">
        <v>75</v>
      </c>
      <c r="D247" s="19" t="s">
        <v>24</v>
      </c>
      <c r="E247" s="606">
        <f>566-9-187+88</f>
        <v>458</v>
      </c>
      <c r="F247" s="691">
        <f>566-9-99</f>
        <v>458</v>
      </c>
      <c r="G247" s="443">
        <v>458</v>
      </c>
      <c r="H247" s="421">
        <v>458</v>
      </c>
      <c r="I247" s="421">
        <v>458</v>
      </c>
      <c r="J247" s="150">
        <f>K247</f>
        <v>5740.85</v>
      </c>
      <c r="K247" s="150">
        <v>5740.85</v>
      </c>
      <c r="L247" s="150" t="s">
        <v>26</v>
      </c>
      <c r="M247" s="150" t="s">
        <v>26</v>
      </c>
      <c r="N247" s="395">
        <f>SUM(O247:R247)</f>
        <v>2629309.2999999998</v>
      </c>
      <c r="O247" s="150">
        <f>K247*G247</f>
        <v>2629309.2999999998</v>
      </c>
      <c r="P247" s="395" t="s">
        <v>26</v>
      </c>
      <c r="Q247" s="395"/>
      <c r="R247" s="150" t="s">
        <v>26</v>
      </c>
      <c r="S247" s="396"/>
      <c r="T247" s="149">
        <f>H247*K247</f>
        <v>2629309.2999999998</v>
      </c>
      <c r="U247" s="149">
        <f>I247*K247</f>
        <v>2629309.2999999998</v>
      </c>
      <c r="X247" s="25"/>
    </row>
    <row r="248" spans="1:31" ht="46.95" customHeight="1" x14ac:dyDescent="0.25">
      <c r="A248" s="827"/>
      <c r="B248" s="835"/>
      <c r="C248" s="833"/>
      <c r="D248" s="433" t="s">
        <v>232</v>
      </c>
      <c r="E248" s="610">
        <v>65196</v>
      </c>
      <c r="F248" s="698">
        <v>65196</v>
      </c>
      <c r="G248" s="701">
        <v>41472</v>
      </c>
      <c r="H248" s="701">
        <v>41472</v>
      </c>
      <c r="I248" s="701">
        <v>41472</v>
      </c>
      <c r="J248" s="394">
        <f>K248</f>
        <v>63.4</v>
      </c>
      <c r="K248" s="394">
        <f>N248/G248</f>
        <v>63.4</v>
      </c>
      <c r="L248" s="394" t="s">
        <v>26</v>
      </c>
      <c r="M248" s="394" t="s">
        <v>26</v>
      </c>
      <c r="N248" s="393">
        <f>N247</f>
        <v>2629309.2999999998</v>
      </c>
      <c r="O248" s="393">
        <f>O247</f>
        <v>2629309.2999999998</v>
      </c>
      <c r="P248" s="393" t="s">
        <v>26</v>
      </c>
      <c r="Q248" s="393"/>
      <c r="R248" s="394" t="s">
        <v>26</v>
      </c>
      <c r="S248" s="393"/>
      <c r="T248" s="394">
        <f>T247/G248*H248</f>
        <v>2629309.2999999998</v>
      </c>
      <c r="U248" s="394">
        <f>U247/G248*I248</f>
        <v>2629309.2999999998</v>
      </c>
      <c r="X248" s="25"/>
    </row>
    <row r="249" spans="1:31" x14ac:dyDescent="0.25">
      <c r="A249" s="827"/>
      <c r="B249" s="390"/>
      <c r="C249" s="401" t="s">
        <v>38</v>
      </c>
      <c r="D249" s="409"/>
      <c r="E249" s="6">
        <f>SUM(E247:E247)</f>
        <v>458</v>
      </c>
      <c r="F249" s="606">
        <f>SUM(F247:F247)</f>
        <v>458</v>
      </c>
      <c r="G249" s="606">
        <f>SUM(G247:G247)</f>
        <v>458</v>
      </c>
      <c r="H249" s="444">
        <f>SUM(H247:H247)</f>
        <v>458</v>
      </c>
      <c r="I249" s="444">
        <f>SUM(I247:I247)</f>
        <v>458</v>
      </c>
      <c r="J249" s="395" t="s">
        <v>26</v>
      </c>
      <c r="K249" s="395" t="s">
        <v>26</v>
      </c>
      <c r="L249" s="395" t="s">
        <v>26</v>
      </c>
      <c r="M249" s="150">
        <f t="shared" ref="M249:R249" si="83">SUM(M247:M247)</f>
        <v>0</v>
      </c>
      <c r="N249" s="413">
        <f t="shared" si="83"/>
        <v>2629309.2999999998</v>
      </c>
      <c r="O249" s="395">
        <f t="shared" si="83"/>
        <v>2629309.2999999998</v>
      </c>
      <c r="P249" s="395">
        <f t="shared" si="83"/>
        <v>0</v>
      </c>
      <c r="Q249" s="395"/>
      <c r="R249" s="150">
        <f t="shared" si="83"/>
        <v>0</v>
      </c>
      <c r="S249" s="396"/>
      <c r="T249" s="396">
        <f>N247</f>
        <v>2629309.2999999998</v>
      </c>
      <c r="U249" s="149">
        <f>T247</f>
        <v>2629309.2999999998</v>
      </c>
    </row>
    <row r="250" spans="1:31" x14ac:dyDescent="0.25">
      <c r="A250" s="827"/>
      <c r="B250" s="406" t="s">
        <v>43</v>
      </c>
      <c r="C250" s="400" t="s">
        <v>44</v>
      </c>
      <c r="D250" s="409"/>
      <c r="E250" s="6"/>
      <c r="F250" s="606"/>
      <c r="G250" s="606"/>
      <c r="H250" s="444"/>
      <c r="I250" s="444"/>
      <c r="J250" s="395"/>
      <c r="K250" s="395"/>
      <c r="L250" s="395"/>
      <c r="M250" s="150"/>
      <c r="N250" s="395">
        <f>P250</f>
        <v>0</v>
      </c>
      <c r="O250" s="395"/>
      <c r="P250" s="395"/>
      <c r="Q250" s="395"/>
      <c r="R250" s="150"/>
      <c r="S250" s="396"/>
      <c r="T250" s="396">
        <f>P250</f>
        <v>0</v>
      </c>
      <c r="U250" s="396">
        <f t="shared" ref="U250:U255" si="84">T250</f>
        <v>0</v>
      </c>
    </row>
    <row r="251" spans="1:31" x14ac:dyDescent="0.25">
      <c r="A251" s="827"/>
      <c r="B251" s="407" t="s">
        <v>53</v>
      </c>
      <c r="C251" s="381" t="s">
        <v>54</v>
      </c>
      <c r="D251" s="19" t="s">
        <v>24</v>
      </c>
      <c r="E251" s="6"/>
      <c r="F251" s="606"/>
      <c r="G251" s="606"/>
      <c r="H251" s="444"/>
      <c r="I251" s="444"/>
      <c r="J251" s="395"/>
      <c r="K251" s="395"/>
      <c r="L251" s="395"/>
      <c r="M251" s="150"/>
      <c r="N251" s="395">
        <f>S251</f>
        <v>0</v>
      </c>
      <c r="O251" s="395"/>
      <c r="P251" s="395"/>
      <c r="Q251" s="395"/>
      <c r="R251" s="150"/>
      <c r="S251" s="396"/>
      <c r="T251" s="396">
        <f>S251</f>
        <v>0</v>
      </c>
      <c r="U251" s="396">
        <f t="shared" si="84"/>
        <v>0</v>
      </c>
    </row>
    <row r="252" spans="1:31" hidden="1" x14ac:dyDescent="0.25">
      <c r="A252" s="827"/>
      <c r="B252" s="407" t="s">
        <v>53</v>
      </c>
      <c r="C252" s="381" t="s">
        <v>44</v>
      </c>
      <c r="D252" s="19" t="s">
        <v>24</v>
      </c>
      <c r="E252" s="6"/>
      <c r="F252" s="606"/>
      <c r="G252" s="606"/>
      <c r="H252" s="444"/>
      <c r="I252" s="444"/>
      <c r="J252" s="395"/>
      <c r="K252" s="395"/>
      <c r="L252" s="395"/>
      <c r="M252" s="150"/>
      <c r="N252" s="395">
        <f>Q252</f>
        <v>0</v>
      </c>
      <c r="O252" s="395"/>
      <c r="P252" s="395"/>
      <c r="Q252" s="395"/>
      <c r="R252" s="150"/>
      <c r="S252" s="396"/>
      <c r="T252" s="396"/>
      <c r="U252" s="396"/>
    </row>
    <row r="253" spans="1:31" hidden="1" x14ac:dyDescent="0.25">
      <c r="A253" s="827"/>
      <c r="B253" s="407" t="s">
        <v>55</v>
      </c>
      <c r="C253" s="381" t="s">
        <v>54</v>
      </c>
      <c r="D253" s="19"/>
      <c r="E253" s="6"/>
      <c r="F253" s="606"/>
      <c r="G253" s="606"/>
      <c r="H253" s="444"/>
      <c r="I253" s="444"/>
      <c r="J253" s="395"/>
      <c r="K253" s="395"/>
      <c r="L253" s="395"/>
      <c r="M253" s="150"/>
      <c r="N253" s="395">
        <f>S253</f>
        <v>0</v>
      </c>
      <c r="O253" s="395"/>
      <c r="P253" s="395"/>
      <c r="Q253" s="395"/>
      <c r="R253" s="150"/>
      <c r="S253" s="396"/>
      <c r="T253" s="396"/>
      <c r="U253" s="396"/>
    </row>
    <row r="254" spans="1:31" x14ac:dyDescent="0.25">
      <c r="A254" s="827"/>
      <c r="B254" s="407" t="s">
        <v>47</v>
      </c>
      <c r="C254" s="381" t="s">
        <v>44</v>
      </c>
      <c r="D254" s="19"/>
      <c r="E254" s="6">
        <v>13</v>
      </c>
      <c r="F254" s="606">
        <v>13</v>
      </c>
      <c r="G254" s="606">
        <v>13</v>
      </c>
      <c r="H254" s="444">
        <v>13</v>
      </c>
      <c r="I254" s="444">
        <v>13</v>
      </c>
      <c r="J254" s="395"/>
      <c r="K254" s="395"/>
      <c r="L254" s="395"/>
      <c r="M254" s="150"/>
      <c r="N254" s="395">
        <v>0</v>
      </c>
      <c r="O254" s="150">
        <f>O245+O239+O228</f>
        <v>3046680</v>
      </c>
      <c r="P254" s="395"/>
      <c r="Q254" s="395"/>
      <c r="R254" s="150"/>
      <c r="S254" s="396"/>
      <c r="T254" s="396">
        <v>3046680</v>
      </c>
      <c r="U254" s="396">
        <f>T254</f>
        <v>3046680</v>
      </c>
    </row>
    <row r="255" spans="1:31" ht="13.95" hidden="1" customHeight="1" x14ac:dyDescent="0.25">
      <c r="A255" s="827"/>
      <c r="B255" s="407" t="s">
        <v>48</v>
      </c>
      <c r="C255" s="381" t="s">
        <v>44</v>
      </c>
      <c r="D255" s="19"/>
      <c r="E255" s="6"/>
      <c r="F255" s="606"/>
      <c r="G255" s="606"/>
      <c r="H255" s="444"/>
      <c r="I255" s="444"/>
      <c r="J255" s="395"/>
      <c r="K255" s="395"/>
      <c r="L255" s="395"/>
      <c r="M255" s="150"/>
      <c r="N255" s="395">
        <f t="shared" ref="N255" si="85">O255</f>
        <v>0</v>
      </c>
      <c r="O255" s="395"/>
      <c r="P255" s="395">
        <f t="shared" ref="P255:P256" si="86">G255*L255</f>
        <v>0</v>
      </c>
      <c r="Q255" s="395"/>
      <c r="R255" s="150"/>
      <c r="S255" s="396"/>
      <c r="T255" s="396">
        <f>O255</f>
        <v>0</v>
      </c>
      <c r="U255" s="396">
        <f t="shared" si="84"/>
        <v>0</v>
      </c>
    </row>
    <row r="256" spans="1:31" ht="13.95" customHeight="1" x14ac:dyDescent="0.25">
      <c r="A256" s="827"/>
      <c r="B256" s="408" t="s">
        <v>45</v>
      </c>
      <c r="C256" s="381" t="s">
        <v>44</v>
      </c>
      <c r="D256" s="410" t="s">
        <v>46</v>
      </c>
      <c r="E256" s="6">
        <f>1+3</f>
        <v>4</v>
      </c>
      <c r="F256" s="606">
        <f>1+3</f>
        <v>4</v>
      </c>
      <c r="G256" s="11">
        <v>4</v>
      </c>
      <c r="H256" s="444">
        <f>1+3</f>
        <v>4</v>
      </c>
      <c r="I256" s="444">
        <f>1+3</f>
        <v>4</v>
      </c>
      <c r="J256" s="395"/>
      <c r="K256" s="395"/>
      <c r="L256" s="395">
        <v>354516.06</v>
      </c>
      <c r="M256" s="150"/>
      <c r="N256" s="414">
        <f>P256</f>
        <v>1418064.24</v>
      </c>
      <c r="O256" s="395"/>
      <c r="P256" s="395">
        <f t="shared" si="86"/>
        <v>1418064.24</v>
      </c>
      <c r="Q256" s="395"/>
      <c r="R256" s="150"/>
      <c r="S256" s="396"/>
      <c r="T256" s="396">
        <f>P256</f>
        <v>1418064.24</v>
      </c>
      <c r="U256" s="396">
        <f>T256</f>
        <v>1418064.24</v>
      </c>
    </row>
    <row r="257" spans="1:28" ht="27.6" x14ac:dyDescent="0.25">
      <c r="A257" s="827"/>
      <c r="B257" s="408" t="s">
        <v>45</v>
      </c>
      <c r="C257" s="401" t="s">
        <v>44</v>
      </c>
      <c r="D257" s="410" t="s">
        <v>46</v>
      </c>
      <c r="E257" s="606">
        <f>6-3</f>
        <v>3</v>
      </c>
      <c r="F257" s="606">
        <f>6-3</f>
        <v>3</v>
      </c>
      <c r="G257" s="606">
        <f>6-3</f>
        <v>3</v>
      </c>
      <c r="H257" s="606">
        <f>6-3</f>
        <v>3</v>
      </c>
      <c r="I257" s="606">
        <f>6-3</f>
        <v>3</v>
      </c>
      <c r="J257" s="395"/>
      <c r="K257" s="395"/>
      <c r="L257" s="395">
        <v>354411.02</v>
      </c>
      <c r="M257" s="150"/>
      <c r="N257" s="414">
        <f>P257</f>
        <v>1063233.06</v>
      </c>
      <c r="O257" s="395"/>
      <c r="P257" s="395">
        <f>G257*L257</f>
        <v>1063233.06</v>
      </c>
      <c r="Q257" s="395"/>
      <c r="R257" s="150"/>
      <c r="S257" s="396"/>
      <c r="T257" s="396">
        <f>P257</f>
        <v>1063233.06</v>
      </c>
      <c r="U257" s="396">
        <f>T257</f>
        <v>1063233.06</v>
      </c>
    </row>
    <row r="258" spans="1:28" ht="23.4" customHeight="1" x14ac:dyDescent="0.25">
      <c r="A258" s="828"/>
      <c r="B258" s="407" t="s">
        <v>50</v>
      </c>
      <c r="C258" s="381"/>
      <c r="D258" s="381"/>
      <c r="E258" s="620">
        <f>204-E238</f>
        <v>202</v>
      </c>
      <c r="F258" s="708">
        <v>185</v>
      </c>
      <c r="G258" s="709">
        <v>188</v>
      </c>
      <c r="H258" s="756">
        <v>189</v>
      </c>
      <c r="I258" s="756">
        <v>168</v>
      </c>
      <c r="J258" s="388"/>
      <c r="K258" s="388"/>
      <c r="L258" s="388"/>
      <c r="M258" s="391"/>
      <c r="N258" s="388">
        <f>SUM(O258:S258)</f>
        <v>42173881.060000002</v>
      </c>
      <c r="O258" s="388">
        <f>O229+O240+O246+O249+O255</f>
        <v>24798666.190000001</v>
      </c>
      <c r="P258" s="388">
        <f>P229+P240+P246+P249+P250+P251+P252+P257+P256</f>
        <v>6805386.75</v>
      </c>
      <c r="Q258" s="388">
        <f>Q229+Q240+Q246+Q249+Q250+Q251+Q252</f>
        <v>0</v>
      </c>
      <c r="R258" s="775">
        <f>R229+R240+R246+R249+R250+R251+R252+R253</f>
        <v>10569828.119999999</v>
      </c>
      <c r="S258" s="397">
        <f>S229+S240+S246+S249+S250+S251+S252+S253</f>
        <v>0</v>
      </c>
      <c r="T258" s="397">
        <f>T229+T240+T246+T249+T250+T251+T252+T253+T255+T256</f>
        <v>37709131.030000001</v>
      </c>
      <c r="U258" s="397">
        <f>U229+U240+U246+U249+U250+U251+U252+U253+U255+U256</f>
        <v>36352544.619999997</v>
      </c>
      <c r="X258" s="25"/>
      <c r="AB258" s="25"/>
    </row>
    <row r="259" spans="1:28" ht="19.2" customHeight="1" x14ac:dyDescent="0.25">
      <c r="A259" s="34"/>
      <c r="B259" s="823" t="s">
        <v>76</v>
      </c>
      <c r="C259" s="824"/>
      <c r="D259" s="824"/>
      <c r="E259" s="824"/>
      <c r="F259" s="824"/>
      <c r="G259" s="824"/>
      <c r="H259" s="824"/>
      <c r="I259" s="824"/>
      <c r="J259" s="824"/>
      <c r="K259" s="824"/>
      <c r="L259" s="824"/>
      <c r="M259" s="825"/>
      <c r="N259" s="391">
        <f t="shared" ref="N259:U259" si="87">N258+N217+N172+N130+N90+N48</f>
        <v>479925829.75</v>
      </c>
      <c r="O259" s="391">
        <f t="shared" si="87"/>
        <v>311803096.32999998</v>
      </c>
      <c r="P259" s="391">
        <f t="shared" si="87"/>
        <v>67751945.980000004</v>
      </c>
      <c r="Q259" s="391">
        <f t="shared" si="87"/>
        <v>0</v>
      </c>
      <c r="R259" s="779">
        <f t="shared" si="87"/>
        <v>100370787.44</v>
      </c>
      <c r="S259" s="399">
        <f t="shared" si="87"/>
        <v>0</v>
      </c>
      <c r="T259" s="399">
        <f t="shared" si="87"/>
        <v>457819878.39999998</v>
      </c>
      <c r="U259" s="399">
        <f t="shared" si="87"/>
        <v>460497684.54000002</v>
      </c>
      <c r="Y259" s="383"/>
    </row>
    <row r="260" spans="1:28" x14ac:dyDescent="0.25">
      <c r="A260" s="1" t="s">
        <v>77</v>
      </c>
      <c r="T260" s="35"/>
      <c r="U260" s="35"/>
    </row>
    <row r="261" spans="1:28" x14ac:dyDescent="0.25">
      <c r="A261" s="1" t="s">
        <v>78</v>
      </c>
      <c r="O261" s="25"/>
      <c r="R261" s="25"/>
      <c r="T261" s="36"/>
    </row>
    <row r="262" spans="1:28" ht="13.95" customHeight="1" x14ac:dyDescent="0.25">
      <c r="T262" s="36"/>
      <c r="U262" s="36"/>
    </row>
    <row r="263" spans="1:28" x14ac:dyDescent="0.25">
      <c r="O263" s="25"/>
      <c r="S263" s="36"/>
      <c r="V263" s="25"/>
      <c r="W263" s="25"/>
    </row>
    <row r="264" spans="1:28" x14ac:dyDescent="0.25">
      <c r="O264" s="25"/>
      <c r="P264" s="25"/>
      <c r="R264" s="25"/>
    </row>
    <row r="265" spans="1:28" x14ac:dyDescent="0.25">
      <c r="O265" s="25"/>
      <c r="P265" s="25"/>
      <c r="R265" s="25"/>
      <c r="T265" s="36"/>
    </row>
    <row r="266" spans="1:28" x14ac:dyDescent="0.25">
      <c r="O266" s="25"/>
      <c r="P266" s="25"/>
      <c r="R266" s="25"/>
    </row>
    <row r="267" spans="1:28" hidden="1" x14ac:dyDescent="0.25">
      <c r="O267" s="81">
        <f>O254+O214+O169+O127+O87+O45</f>
        <v>32341700</v>
      </c>
      <c r="P267" s="25"/>
      <c r="R267" s="37">
        <f>R258-9296123.24</f>
        <v>1273704.8799999999</v>
      </c>
    </row>
    <row r="268" spans="1:28" x14ac:dyDescent="0.25">
      <c r="O268" s="25"/>
      <c r="P268" s="25"/>
    </row>
    <row r="269" spans="1:28" x14ac:dyDescent="0.25">
      <c r="O269" s="25"/>
      <c r="P269" s="25"/>
    </row>
    <row r="270" spans="1:28" x14ac:dyDescent="0.25">
      <c r="O270" s="25"/>
      <c r="P270" s="25"/>
    </row>
    <row r="271" spans="1:28" x14ac:dyDescent="0.25">
      <c r="I271" s="38"/>
      <c r="O271" s="25"/>
      <c r="P271" s="25"/>
    </row>
    <row r="272" spans="1:28" x14ac:dyDescent="0.25">
      <c r="O272" s="25"/>
      <c r="P272" s="25"/>
    </row>
    <row r="273" spans="15:18" x14ac:dyDescent="0.25">
      <c r="O273" s="25"/>
      <c r="P273" s="25"/>
    </row>
    <row r="274" spans="15:18" x14ac:dyDescent="0.25">
      <c r="O274" s="25"/>
      <c r="P274" s="25"/>
    </row>
    <row r="275" spans="15:18" x14ac:dyDescent="0.25">
      <c r="O275" s="25"/>
      <c r="P275" s="25"/>
    </row>
    <row r="276" spans="15:18" x14ac:dyDescent="0.25">
      <c r="O276" s="25"/>
      <c r="P276" s="25"/>
    </row>
    <row r="277" spans="15:18" x14ac:dyDescent="0.25">
      <c r="O277" s="25"/>
      <c r="P277" s="25"/>
    </row>
    <row r="278" spans="15:18" x14ac:dyDescent="0.25">
      <c r="R278" s="25"/>
    </row>
    <row r="279" spans="15:18" x14ac:dyDescent="0.25">
      <c r="R279" s="25"/>
    </row>
    <row r="280" spans="15:18" x14ac:dyDescent="0.25">
      <c r="O280" s="25"/>
      <c r="R280" s="25"/>
    </row>
    <row r="301" spans="15:17" x14ac:dyDescent="0.25">
      <c r="O301" s="25"/>
      <c r="P301" s="25"/>
      <c r="Q301" s="25"/>
    </row>
    <row r="302" spans="15:17" x14ac:dyDescent="0.25">
      <c r="O302" s="25"/>
      <c r="P302" s="25"/>
      <c r="Q302" s="25"/>
    </row>
    <row r="303" spans="15:17" x14ac:dyDescent="0.25">
      <c r="O303" s="25"/>
      <c r="P303" s="25"/>
      <c r="Q303" s="25"/>
    </row>
    <row r="306" spans="1:15" x14ac:dyDescent="0.25">
      <c r="O306" s="25"/>
    </row>
    <row r="308" spans="1:15" ht="13.95" hidden="1" customHeight="1" x14ac:dyDescent="0.25">
      <c r="H308" s="1">
        <v>2</v>
      </c>
    </row>
    <row r="309" spans="1:15" ht="13.95" hidden="1" customHeight="1" x14ac:dyDescent="0.25">
      <c r="D309" s="39">
        <v>286</v>
      </c>
      <c r="E309" s="40"/>
      <c r="F309" s="40"/>
      <c r="G309" s="40">
        <v>3</v>
      </c>
      <c r="H309" s="39">
        <v>244</v>
      </c>
      <c r="I309" s="39">
        <v>46</v>
      </c>
      <c r="J309" s="39">
        <v>69</v>
      </c>
      <c r="K309" s="39">
        <f>D309+G309+H309+I309+J309</f>
        <v>648</v>
      </c>
      <c r="L309" s="1" t="s">
        <v>79</v>
      </c>
      <c r="M309" s="1" t="s">
        <v>80</v>
      </c>
      <c r="N309" s="1" t="s">
        <v>81</v>
      </c>
    </row>
    <row r="310" spans="1:15" ht="27.6" hidden="1" customHeight="1" x14ac:dyDescent="0.25">
      <c r="A310" s="1" t="s">
        <v>82</v>
      </c>
      <c r="B310" s="24" t="s">
        <v>43</v>
      </c>
      <c r="C310" s="41">
        <v>118131</v>
      </c>
      <c r="D310" s="42"/>
      <c r="E310" s="43"/>
      <c r="F310" s="43"/>
      <c r="G310" s="43"/>
      <c r="H310" s="44"/>
      <c r="I310" s="44"/>
      <c r="J310" s="44"/>
      <c r="K310" s="44"/>
      <c r="L310" s="25">
        <f>(C310+C316)</f>
        <v>522719</v>
      </c>
      <c r="M310" s="25">
        <f>(C314+C315)</f>
        <v>1356154</v>
      </c>
      <c r="N310" s="25">
        <f>(C311+C313)</f>
        <v>3584396</v>
      </c>
      <c r="O310" s="25">
        <f>L310+M310+N310</f>
        <v>5463269</v>
      </c>
    </row>
    <row r="311" spans="1:15" ht="13.95" hidden="1" customHeight="1" x14ac:dyDescent="0.25">
      <c r="B311" s="28" t="s">
        <v>53</v>
      </c>
      <c r="C311" s="41">
        <v>3308494</v>
      </c>
      <c r="D311" s="42"/>
      <c r="E311" s="43"/>
      <c r="F311" s="43"/>
      <c r="G311" s="43"/>
      <c r="H311" s="44"/>
      <c r="I311" s="44"/>
      <c r="J311" s="44"/>
      <c r="K311" s="44"/>
      <c r="L311" s="25">
        <f>L310/K309</f>
        <v>806.67</v>
      </c>
      <c r="M311" s="25">
        <f>M310/K309</f>
        <v>2092.83</v>
      </c>
      <c r="N311" s="25">
        <f>N310/K309</f>
        <v>5531.48</v>
      </c>
    </row>
    <row r="312" spans="1:15" ht="13.95" hidden="1" customHeight="1" x14ac:dyDescent="0.25">
      <c r="B312" s="28" t="s">
        <v>53</v>
      </c>
      <c r="C312" s="41"/>
      <c r="D312" s="42"/>
      <c r="E312" s="43"/>
      <c r="F312" s="43"/>
      <c r="G312" s="43"/>
      <c r="H312" s="44"/>
      <c r="I312" s="44"/>
      <c r="J312" s="44"/>
      <c r="K312" s="44"/>
      <c r="L312" s="25"/>
    </row>
    <row r="313" spans="1:15" ht="13.95" hidden="1" customHeight="1" x14ac:dyDescent="0.25">
      <c r="B313" s="28" t="s">
        <v>55</v>
      </c>
      <c r="C313" s="41">
        <v>275902</v>
      </c>
      <c r="D313" s="42"/>
      <c r="E313" s="43"/>
      <c r="F313" s="43"/>
      <c r="G313" s="43"/>
      <c r="H313" s="44"/>
      <c r="I313" s="44"/>
      <c r="J313" s="44"/>
      <c r="K313" s="44"/>
      <c r="L313" s="25">
        <f>C310+691346</f>
        <v>809477</v>
      </c>
      <c r="M313" s="25">
        <f>C315+3249792</f>
        <v>3522682</v>
      </c>
      <c r="N313" s="25">
        <f>C311</f>
        <v>3308494</v>
      </c>
    </row>
    <row r="314" spans="1:15" ht="13.95" hidden="1" customHeight="1" x14ac:dyDescent="0.25">
      <c r="B314" s="28" t="s">
        <v>47</v>
      </c>
      <c r="C314" s="41">
        <v>1083264</v>
      </c>
      <c r="D314" s="44"/>
      <c r="E314" s="43"/>
      <c r="F314" s="43"/>
      <c r="G314" s="43"/>
      <c r="H314" s="44"/>
      <c r="I314" s="44"/>
      <c r="J314" s="44"/>
      <c r="K314" s="44"/>
      <c r="L314" s="25">
        <f>L313-L310</f>
        <v>286758</v>
      </c>
      <c r="M314" s="25">
        <f>M313-M310</f>
        <v>2166528</v>
      </c>
      <c r="N314" s="25">
        <f>N313-N310</f>
        <v>-275902</v>
      </c>
    </row>
    <row r="315" spans="1:15" ht="13.95" hidden="1" customHeight="1" x14ac:dyDescent="0.25">
      <c r="B315" s="28" t="s">
        <v>48</v>
      </c>
      <c r="C315" s="41">
        <v>272890</v>
      </c>
      <c r="D315" s="44"/>
      <c r="E315" s="43"/>
      <c r="F315" s="43"/>
      <c r="G315" s="43"/>
      <c r="H315" s="44"/>
      <c r="I315" s="44"/>
      <c r="J315" s="44"/>
      <c r="K315" s="44"/>
      <c r="L315" s="25">
        <f>L314/K309</f>
        <v>442.53</v>
      </c>
      <c r="M315" s="25">
        <f>M314/K309</f>
        <v>3343.41</v>
      </c>
      <c r="N315" s="25">
        <f>N314/K309</f>
        <v>-425.77</v>
      </c>
    </row>
    <row r="316" spans="1:15" ht="13.95" hidden="1" customHeight="1" x14ac:dyDescent="0.25">
      <c r="B316" s="28" t="s">
        <v>49</v>
      </c>
      <c r="C316" s="41">
        <v>404588</v>
      </c>
      <c r="D316" s="44"/>
      <c r="E316" s="43"/>
      <c r="F316" s="43"/>
      <c r="G316" s="43"/>
      <c r="H316" s="44"/>
      <c r="I316" s="44"/>
      <c r="J316" s="44"/>
      <c r="K316" s="44"/>
      <c r="L316" s="25">
        <f>D309*L315</f>
        <v>126563.58</v>
      </c>
      <c r="M316" s="25">
        <f>D309*M315</f>
        <v>956215.26</v>
      </c>
      <c r="N316" s="25">
        <f>D309*N315</f>
        <v>-121770.22</v>
      </c>
      <c r="O316" s="25">
        <f t="shared" ref="O316:O321" si="88">L316+M316+N316</f>
        <v>961008.62</v>
      </c>
    </row>
    <row r="317" spans="1:15" ht="13.95" hidden="1" customHeight="1" x14ac:dyDescent="0.25">
      <c r="B317" s="29" t="s">
        <v>50</v>
      </c>
      <c r="C317" s="41">
        <f>SUM(C310:C316)</f>
        <v>5463269</v>
      </c>
      <c r="D317" s="44"/>
      <c r="E317" s="43"/>
      <c r="F317" s="43"/>
      <c r="G317" s="43"/>
      <c r="H317" s="44"/>
      <c r="I317" s="44"/>
      <c r="J317" s="44"/>
      <c r="K317" s="44"/>
      <c r="L317" s="25">
        <f>G309*L315</f>
        <v>1327.59</v>
      </c>
      <c r="M317" s="25">
        <f>G309*M315</f>
        <v>10030.23</v>
      </c>
      <c r="N317" s="25">
        <f>G309*N315</f>
        <v>-1277.31</v>
      </c>
      <c r="O317" s="25">
        <f t="shared" si="88"/>
        <v>10080.51</v>
      </c>
    </row>
    <row r="318" spans="1:15" ht="13.95" hidden="1" customHeight="1" x14ac:dyDescent="0.25">
      <c r="L318" s="25">
        <f>242*L315</f>
        <v>107092.26</v>
      </c>
      <c r="M318" s="25">
        <f>242*M315</f>
        <v>809105.22</v>
      </c>
      <c r="N318" s="25">
        <f>242*N315</f>
        <v>-103036.34</v>
      </c>
      <c r="O318" s="25">
        <f t="shared" si="88"/>
        <v>813161.14</v>
      </c>
    </row>
    <row r="319" spans="1:15" ht="13.95" hidden="1" customHeight="1" x14ac:dyDescent="0.25">
      <c r="D319" s="45"/>
      <c r="L319" s="25">
        <f>2*L315</f>
        <v>885.06</v>
      </c>
      <c r="M319" s="25">
        <f>2*M315</f>
        <v>6686.82</v>
      </c>
      <c r="N319" s="25">
        <f>2*N315</f>
        <v>-851.54</v>
      </c>
      <c r="O319" s="25">
        <f t="shared" si="88"/>
        <v>6720.34</v>
      </c>
    </row>
    <row r="320" spans="1:15" ht="13.95" hidden="1" customHeight="1" x14ac:dyDescent="0.25">
      <c r="D320" s="46"/>
      <c r="L320" s="25">
        <f>I309*L315</f>
        <v>20356.38</v>
      </c>
      <c r="M320" s="25">
        <f>I309*M315</f>
        <v>153796.85999999999</v>
      </c>
      <c r="N320" s="25">
        <f>I309*N315</f>
        <v>-19585.419999999998</v>
      </c>
      <c r="O320" s="25">
        <f t="shared" si="88"/>
        <v>154567.82</v>
      </c>
    </row>
    <row r="321" spans="1:15" ht="13.95" hidden="1" customHeight="1" x14ac:dyDescent="0.25">
      <c r="D321" s="46"/>
      <c r="L321" s="25">
        <f>J309*L315</f>
        <v>30534.57</v>
      </c>
      <c r="M321" s="25">
        <f>J309*M315</f>
        <v>230695.29</v>
      </c>
      <c r="N321" s="25">
        <f>J309*N315</f>
        <v>-29378.13</v>
      </c>
      <c r="O321" s="25">
        <f t="shared" si="88"/>
        <v>231851.73</v>
      </c>
    </row>
    <row r="322" spans="1:15" ht="13.95" hidden="1" customHeight="1" x14ac:dyDescent="0.25">
      <c r="D322" s="46"/>
    </row>
    <row r="323" spans="1:15" ht="13.95" hidden="1" customHeight="1" x14ac:dyDescent="0.25">
      <c r="D323" s="46"/>
    </row>
    <row r="324" spans="1:15" ht="13.95" hidden="1" customHeight="1" x14ac:dyDescent="0.25">
      <c r="D324" s="46"/>
    </row>
    <row r="325" spans="1:15" ht="13.95" hidden="1" customHeight="1" x14ac:dyDescent="0.25">
      <c r="D325" s="39">
        <v>261</v>
      </c>
      <c r="E325" s="40"/>
      <c r="F325" s="40"/>
      <c r="G325" s="40">
        <v>2</v>
      </c>
      <c r="H325" s="39">
        <v>219</v>
      </c>
      <c r="I325" s="39">
        <v>2</v>
      </c>
      <c r="J325" s="39">
        <v>44</v>
      </c>
      <c r="K325" s="39">
        <f>D325+G325+H325+I325+J325</f>
        <v>528</v>
      </c>
      <c r="L325" s="1" t="s">
        <v>79</v>
      </c>
      <c r="M325" s="1" t="s">
        <v>80</v>
      </c>
      <c r="N325" s="1" t="s">
        <v>81</v>
      </c>
    </row>
    <row r="326" spans="1:15" ht="27.6" hidden="1" customHeight="1" x14ac:dyDescent="0.25">
      <c r="A326" s="1" t="s">
        <v>83</v>
      </c>
      <c r="B326" s="24" t="s">
        <v>43</v>
      </c>
      <c r="C326" s="41">
        <v>96255</v>
      </c>
      <c r="D326" s="42"/>
      <c r="E326" s="43"/>
      <c r="F326" s="43"/>
      <c r="G326" s="43"/>
      <c r="H326" s="44"/>
      <c r="I326" s="44"/>
      <c r="J326" s="44"/>
      <c r="K326" s="44"/>
      <c r="L326" s="25">
        <f>C326+C328+C332</f>
        <v>1031146</v>
      </c>
      <c r="M326" s="25">
        <f>C330+C331</f>
        <v>1027677</v>
      </c>
      <c r="N326" s="25">
        <f>C327+C329</f>
        <v>4122597</v>
      </c>
      <c r="O326" s="25">
        <f>L326+M326+N326</f>
        <v>6181420</v>
      </c>
    </row>
    <row r="327" spans="1:15" ht="13.95" hidden="1" customHeight="1" x14ac:dyDescent="0.25">
      <c r="B327" s="28" t="s">
        <v>53</v>
      </c>
      <c r="C327" s="41">
        <v>3813252</v>
      </c>
      <c r="D327" s="42"/>
      <c r="E327" s="43"/>
      <c r="F327" s="43"/>
      <c r="G327" s="43"/>
      <c r="H327" s="44"/>
      <c r="I327" s="44"/>
      <c r="J327" s="44"/>
      <c r="K327" s="44"/>
      <c r="L327" s="25">
        <f>L326/K325</f>
        <v>1952.93</v>
      </c>
      <c r="M327" s="25">
        <f>M326/K325</f>
        <v>1946.36</v>
      </c>
      <c r="N327" s="25">
        <f>N326/K325</f>
        <v>7807.95</v>
      </c>
    </row>
    <row r="328" spans="1:15" ht="13.95" hidden="1" customHeight="1" x14ac:dyDescent="0.25">
      <c r="B328" s="28" t="s">
        <v>53</v>
      </c>
      <c r="C328" s="41">
        <v>606031</v>
      </c>
      <c r="D328" s="42"/>
      <c r="E328" s="43"/>
      <c r="F328" s="43"/>
      <c r="G328" s="43"/>
      <c r="H328" s="44"/>
      <c r="I328" s="44"/>
      <c r="J328" s="44"/>
      <c r="K328" s="44"/>
    </row>
    <row r="329" spans="1:15" ht="13.95" hidden="1" customHeight="1" x14ac:dyDescent="0.25">
      <c r="B329" s="28" t="s">
        <v>55</v>
      </c>
      <c r="C329" s="41">
        <v>309345</v>
      </c>
      <c r="D329" s="42"/>
      <c r="E329" s="43"/>
      <c r="F329" s="43"/>
      <c r="G329" s="43"/>
      <c r="H329" s="44"/>
      <c r="I329" s="44"/>
      <c r="J329" s="44"/>
      <c r="K329" s="44"/>
      <c r="L329" s="25">
        <f>C326+C328+563319</f>
        <v>1265605</v>
      </c>
      <c r="M329" s="25">
        <f>C331+2624832</f>
        <v>2777565</v>
      </c>
      <c r="N329" s="25">
        <f>C327</f>
        <v>3813252</v>
      </c>
    </row>
    <row r="330" spans="1:15" ht="13.95" hidden="1" customHeight="1" x14ac:dyDescent="0.25">
      <c r="B330" s="28" t="s">
        <v>47</v>
      </c>
      <c r="C330" s="41">
        <v>874944</v>
      </c>
      <c r="D330" s="44"/>
      <c r="E330" s="43"/>
      <c r="F330" s="43"/>
      <c r="G330" s="43"/>
      <c r="H330" s="44"/>
      <c r="I330" s="44"/>
      <c r="J330" s="44"/>
      <c r="K330" s="44"/>
      <c r="L330" s="25">
        <f>L329-L326</f>
        <v>234459</v>
      </c>
      <c r="M330" s="25">
        <f>M329-M326</f>
        <v>1749888</v>
      </c>
      <c r="N330" s="25">
        <f>N329-N326</f>
        <v>-309345</v>
      </c>
    </row>
    <row r="331" spans="1:15" ht="13.95" hidden="1" customHeight="1" x14ac:dyDescent="0.25">
      <c r="B331" s="28" t="s">
        <v>48</v>
      </c>
      <c r="C331" s="41">
        <v>152733</v>
      </c>
      <c r="D331" s="44"/>
      <c r="E331" s="43"/>
      <c r="F331" s="43"/>
      <c r="G331" s="43"/>
      <c r="H331" s="44"/>
      <c r="I331" s="44"/>
      <c r="J331" s="44"/>
      <c r="K331" s="44"/>
      <c r="L331" s="47">
        <f>L330/K325</f>
        <v>444.05</v>
      </c>
      <c r="M331" s="47">
        <f>M330/K325</f>
        <v>3314.18</v>
      </c>
      <c r="N331" s="47">
        <f>N330/K325</f>
        <v>-585.88</v>
      </c>
    </row>
    <row r="332" spans="1:15" ht="13.95" hidden="1" customHeight="1" x14ac:dyDescent="0.25">
      <c r="B332" s="28" t="s">
        <v>49</v>
      </c>
      <c r="C332" s="41">
        <v>328860</v>
      </c>
      <c r="D332" s="44"/>
      <c r="E332" s="43"/>
      <c r="F332" s="43"/>
      <c r="G332" s="43"/>
      <c r="H332" s="44"/>
      <c r="I332" s="44"/>
      <c r="J332" s="44"/>
      <c r="K332" s="44"/>
      <c r="L332" s="25">
        <f>D325*L331</f>
        <v>115897.05</v>
      </c>
      <c r="M332" s="25">
        <f>M331*D325</f>
        <v>865000.98</v>
      </c>
      <c r="N332" s="25">
        <f>D325*N331</f>
        <v>-152914.68</v>
      </c>
      <c r="O332" s="25">
        <f>L332+M332+N332</f>
        <v>827983.35</v>
      </c>
    </row>
    <row r="333" spans="1:15" ht="13.95" hidden="1" customHeight="1" x14ac:dyDescent="0.25">
      <c r="B333" s="29" t="s">
        <v>50</v>
      </c>
      <c r="C333" s="41">
        <f>SUM(C326:C332)</f>
        <v>6181420</v>
      </c>
      <c r="D333" s="44"/>
      <c r="E333" s="43"/>
      <c r="F333" s="43"/>
      <c r="G333" s="43"/>
      <c r="H333" s="44"/>
      <c r="I333" s="44"/>
      <c r="J333" s="44"/>
      <c r="K333" s="44"/>
      <c r="L333" s="25">
        <f>G325*L331</f>
        <v>888.1</v>
      </c>
      <c r="M333" s="25">
        <f>G325*M331</f>
        <v>6628.36</v>
      </c>
      <c r="N333" s="25">
        <f>G325*N331</f>
        <v>-1171.76</v>
      </c>
      <c r="O333" s="25">
        <f>L333+M333+N333</f>
        <v>6344.7</v>
      </c>
    </row>
    <row r="334" spans="1:15" ht="13.95" hidden="1" customHeight="1" x14ac:dyDescent="0.25">
      <c r="L334" s="25">
        <f>H325*L331</f>
        <v>97246.95</v>
      </c>
      <c r="M334" s="25">
        <f>H325*M331</f>
        <v>725805.42</v>
      </c>
      <c r="N334" s="25">
        <f>H325*N331</f>
        <v>-128307.72</v>
      </c>
      <c r="O334" s="25">
        <f>L334+M334+N334</f>
        <v>694744.65</v>
      </c>
    </row>
    <row r="335" spans="1:15" ht="13.95" hidden="1" customHeight="1" x14ac:dyDescent="0.25">
      <c r="L335" s="25">
        <f>I325*L331</f>
        <v>888.1</v>
      </c>
      <c r="M335" s="25">
        <f>I325*M331</f>
        <v>6628.36</v>
      </c>
      <c r="N335" s="25">
        <f>I325*N331</f>
        <v>-1171.76</v>
      </c>
      <c r="O335" s="25">
        <f>L335+M335+N335</f>
        <v>6344.7</v>
      </c>
    </row>
    <row r="336" spans="1:15" ht="13.95" hidden="1" customHeight="1" x14ac:dyDescent="0.25">
      <c r="L336" s="25">
        <f>J325*L331</f>
        <v>19538.2</v>
      </c>
      <c r="M336" s="25">
        <f>J325*M331</f>
        <v>145823.92000000001</v>
      </c>
      <c r="N336" s="25">
        <f>J325*N331</f>
        <v>-25778.720000000001</v>
      </c>
      <c r="O336" s="25">
        <f>L336+M336+N336</f>
        <v>139583.4</v>
      </c>
    </row>
    <row r="337" spans="1:15" ht="13.95" hidden="1" customHeight="1" x14ac:dyDescent="0.25"/>
    <row r="338" spans="1:15" ht="13.95" hidden="1" customHeight="1" x14ac:dyDescent="0.25">
      <c r="D338" s="39">
        <v>242</v>
      </c>
      <c r="E338" s="40"/>
      <c r="F338" s="40"/>
      <c r="G338" s="40">
        <v>1</v>
      </c>
      <c r="H338" s="39">
        <v>224</v>
      </c>
      <c r="I338" s="39">
        <v>3</v>
      </c>
      <c r="J338" s="39">
        <v>69</v>
      </c>
      <c r="K338" s="39">
        <f>D338+G338+H338+I338+J338</f>
        <v>539</v>
      </c>
      <c r="L338" s="1" t="s">
        <v>79</v>
      </c>
      <c r="M338" s="1" t="s">
        <v>80</v>
      </c>
      <c r="N338" s="1" t="s">
        <v>81</v>
      </c>
    </row>
    <row r="339" spans="1:15" ht="27.6" hidden="1" customHeight="1" x14ac:dyDescent="0.25">
      <c r="A339" s="1" t="s">
        <v>84</v>
      </c>
      <c r="B339" s="24" t="s">
        <v>43</v>
      </c>
      <c r="C339" s="41">
        <v>98261</v>
      </c>
      <c r="D339" s="42"/>
      <c r="E339" s="43"/>
      <c r="F339" s="43"/>
      <c r="G339" s="43"/>
      <c r="H339" s="44"/>
      <c r="I339" s="44"/>
      <c r="J339" s="44"/>
      <c r="K339" s="44"/>
      <c r="L339" s="25">
        <f>C339+C341+C345</f>
        <v>598302</v>
      </c>
      <c r="M339" s="25">
        <f>C343</f>
        <v>874944</v>
      </c>
      <c r="N339" s="25">
        <f>C340+C342</f>
        <v>1479238</v>
      </c>
      <c r="O339" s="25">
        <f>L339+M339+N339</f>
        <v>2952484</v>
      </c>
    </row>
    <row r="340" spans="1:15" ht="13.95" hidden="1" customHeight="1" x14ac:dyDescent="0.25">
      <c r="B340" s="28" t="s">
        <v>53</v>
      </c>
      <c r="C340" s="41">
        <v>1362189</v>
      </c>
      <c r="D340" s="42"/>
      <c r="E340" s="43"/>
      <c r="F340" s="43"/>
      <c r="G340" s="43"/>
      <c r="H340" s="44"/>
      <c r="I340" s="44"/>
      <c r="J340" s="44"/>
      <c r="K340" s="44"/>
      <c r="L340" s="25">
        <f>L339/K338</f>
        <v>1110.02</v>
      </c>
      <c r="M340" s="25">
        <f>M339/K338</f>
        <v>1623.27</v>
      </c>
      <c r="N340" s="25">
        <f>N339/K338</f>
        <v>2744.41</v>
      </c>
    </row>
    <row r="341" spans="1:15" ht="13.95" hidden="1" customHeight="1" x14ac:dyDescent="0.25">
      <c r="B341" s="28" t="s">
        <v>53</v>
      </c>
      <c r="C341" s="41">
        <v>164828</v>
      </c>
      <c r="D341" s="42"/>
      <c r="E341" s="43"/>
      <c r="F341" s="43"/>
      <c r="G341" s="43"/>
      <c r="H341" s="44"/>
      <c r="I341" s="44"/>
      <c r="J341" s="44"/>
      <c r="K341" s="44"/>
    </row>
    <row r="342" spans="1:15" ht="13.95" hidden="1" customHeight="1" x14ac:dyDescent="0.25">
      <c r="B342" s="28" t="s">
        <v>55</v>
      </c>
      <c r="C342" s="41">
        <v>117049</v>
      </c>
      <c r="D342" s="42"/>
      <c r="E342" s="43"/>
      <c r="F342" s="43"/>
      <c r="G342" s="43"/>
      <c r="H342" s="44"/>
      <c r="I342" s="44"/>
      <c r="J342" s="44"/>
      <c r="K342" s="44"/>
      <c r="L342" s="25">
        <f>C339+C341+575056</f>
        <v>838145</v>
      </c>
      <c r="M342" s="25">
        <f>2624832</f>
        <v>2624832</v>
      </c>
      <c r="N342" s="25">
        <f>C340</f>
        <v>1362189</v>
      </c>
    </row>
    <row r="343" spans="1:15" ht="13.95" hidden="1" customHeight="1" x14ac:dyDescent="0.25">
      <c r="B343" s="28" t="s">
        <v>47</v>
      </c>
      <c r="C343" s="41">
        <v>874944</v>
      </c>
      <c r="D343" s="44"/>
      <c r="E343" s="43"/>
      <c r="F343" s="43"/>
      <c r="G343" s="43"/>
      <c r="H343" s="44"/>
      <c r="I343" s="44"/>
      <c r="J343" s="44"/>
      <c r="K343" s="44"/>
      <c r="L343" s="25">
        <f>L342-L339</f>
        <v>239843</v>
      </c>
      <c r="M343" s="25">
        <f>M342-M339</f>
        <v>1749888</v>
      </c>
      <c r="N343" s="25">
        <f>N342-N339</f>
        <v>-117049</v>
      </c>
    </row>
    <row r="344" spans="1:15" ht="13.95" hidden="1" customHeight="1" x14ac:dyDescent="0.25">
      <c r="B344" s="28" t="s">
        <v>48</v>
      </c>
      <c r="C344" s="41">
        <v>0</v>
      </c>
      <c r="D344" s="44"/>
      <c r="E344" s="43"/>
      <c r="F344" s="43"/>
      <c r="G344" s="43"/>
      <c r="H344" s="44"/>
      <c r="I344" s="44"/>
      <c r="J344" s="44"/>
      <c r="K344" s="44"/>
      <c r="L344" s="25">
        <f>L343/K338</f>
        <v>444.98</v>
      </c>
      <c r="M344" s="25">
        <f>M343/K338</f>
        <v>3246.55</v>
      </c>
      <c r="N344" s="25">
        <f>N343/K338</f>
        <v>-217.16</v>
      </c>
    </row>
    <row r="345" spans="1:15" ht="13.95" hidden="1" customHeight="1" x14ac:dyDescent="0.25">
      <c r="B345" s="28" t="s">
        <v>49</v>
      </c>
      <c r="C345" s="41">
        <v>335213</v>
      </c>
      <c r="D345" s="44"/>
      <c r="E345" s="43"/>
      <c r="F345" s="43"/>
      <c r="G345" s="43"/>
      <c r="H345" s="44"/>
      <c r="I345" s="44"/>
      <c r="J345" s="44"/>
      <c r="K345" s="44"/>
      <c r="L345" s="25">
        <f>D338*L344</f>
        <v>107685.16</v>
      </c>
      <c r="M345" s="25">
        <f>D338*M344</f>
        <v>785665.1</v>
      </c>
      <c r="N345" s="25">
        <f>D338*N344</f>
        <v>-52552.72</v>
      </c>
      <c r="O345" s="25">
        <f>L345+M345+N345</f>
        <v>840797.54</v>
      </c>
    </row>
    <row r="346" spans="1:15" ht="13.95" hidden="1" customHeight="1" x14ac:dyDescent="0.25">
      <c r="B346" s="29" t="s">
        <v>50</v>
      </c>
      <c r="C346" s="41">
        <f>SUM(C339:C345)</f>
        <v>2952484</v>
      </c>
      <c r="D346" s="44"/>
      <c r="E346" s="43"/>
      <c r="F346" s="43"/>
      <c r="G346" s="43"/>
      <c r="H346" s="44"/>
      <c r="I346" s="44"/>
      <c r="J346" s="44"/>
      <c r="K346" s="44"/>
      <c r="L346" s="25">
        <f>G338*L344</f>
        <v>444.98</v>
      </c>
      <c r="M346" s="25">
        <f>G338*M344</f>
        <v>3246.55</v>
      </c>
      <c r="N346" s="25">
        <f>G338*N344</f>
        <v>-217.16</v>
      </c>
      <c r="O346" s="25">
        <f>L346+M346+N346</f>
        <v>3474.37</v>
      </c>
    </row>
    <row r="347" spans="1:15" ht="13.95" hidden="1" customHeight="1" x14ac:dyDescent="0.25">
      <c r="L347" s="25">
        <f>H338*L344</f>
        <v>99675.520000000004</v>
      </c>
      <c r="M347" s="25">
        <f>H338*M344</f>
        <v>727227.2</v>
      </c>
      <c r="N347" s="25">
        <f>H338*N344</f>
        <v>-48643.839999999997</v>
      </c>
      <c r="O347" s="25">
        <f>L347+M347+N347</f>
        <v>778258.88</v>
      </c>
    </row>
    <row r="348" spans="1:15" ht="13.95" hidden="1" customHeight="1" x14ac:dyDescent="0.25">
      <c r="L348" s="25">
        <f>I338*L344</f>
        <v>1334.94</v>
      </c>
      <c r="M348" s="25">
        <f>I338*M344</f>
        <v>9739.65</v>
      </c>
      <c r="N348" s="25">
        <f>I338*N344</f>
        <v>-651.48</v>
      </c>
      <c r="O348" s="25">
        <f>L348+M348+N348</f>
        <v>10423.11</v>
      </c>
    </row>
    <row r="349" spans="1:15" ht="13.95" hidden="1" customHeight="1" x14ac:dyDescent="0.25">
      <c r="L349" s="25">
        <f>J338*L344</f>
        <v>30703.62</v>
      </c>
      <c r="M349" s="25">
        <f>J338*M344</f>
        <v>224011.95</v>
      </c>
      <c r="N349" s="25">
        <f>J338*N344</f>
        <v>-14984.04</v>
      </c>
      <c r="O349" s="25">
        <f>L349+M349+N349</f>
        <v>239731.53</v>
      </c>
    </row>
    <row r="350" spans="1:15" ht="13.95" hidden="1" customHeight="1" x14ac:dyDescent="0.25"/>
    <row r="351" spans="1:15" ht="13.95" hidden="1" customHeight="1" x14ac:dyDescent="0.25">
      <c r="D351" s="39">
        <v>206</v>
      </c>
      <c r="E351" s="40"/>
      <c r="F351" s="40"/>
      <c r="G351" s="40">
        <v>5</v>
      </c>
      <c r="H351" s="39">
        <v>238</v>
      </c>
      <c r="I351" s="39">
        <v>1</v>
      </c>
      <c r="J351" s="39">
        <v>33</v>
      </c>
      <c r="K351" s="39">
        <f>D351+G351+H351+I351+J351</f>
        <v>483</v>
      </c>
      <c r="L351" s="1" t="s">
        <v>79</v>
      </c>
      <c r="M351" s="1" t="s">
        <v>80</v>
      </c>
      <c r="N351" s="1" t="s">
        <v>81</v>
      </c>
    </row>
    <row r="352" spans="1:15" ht="27.6" hidden="1" customHeight="1" x14ac:dyDescent="0.25">
      <c r="A352" s="1" t="s">
        <v>85</v>
      </c>
      <c r="B352" s="24" t="s">
        <v>43</v>
      </c>
      <c r="C352" s="41">
        <v>88052</v>
      </c>
      <c r="D352" s="42"/>
      <c r="E352" s="43"/>
      <c r="F352" s="43"/>
      <c r="G352" s="43"/>
      <c r="H352" s="44"/>
      <c r="I352" s="44"/>
      <c r="J352" s="44"/>
      <c r="K352" s="44"/>
      <c r="L352" s="25">
        <f>C352+C358</f>
        <v>388924</v>
      </c>
      <c r="M352" s="25">
        <f>C356+C357</f>
        <v>1185246</v>
      </c>
      <c r="N352" s="25">
        <f>C353+C355</f>
        <v>2227002</v>
      </c>
      <c r="O352" s="25">
        <f>L352+M352+N352</f>
        <v>3801172</v>
      </c>
    </row>
    <row r="353" spans="1:17" ht="13.95" hidden="1" customHeight="1" x14ac:dyDescent="0.25">
      <c r="B353" s="28" t="s">
        <v>53</v>
      </c>
      <c r="C353" s="41">
        <v>2026333</v>
      </c>
      <c r="D353" s="42"/>
      <c r="E353" s="43"/>
      <c r="F353" s="43"/>
      <c r="G353" s="43"/>
      <c r="H353" s="44"/>
      <c r="I353" s="44"/>
      <c r="J353" s="44"/>
      <c r="K353" s="44"/>
      <c r="L353" s="25">
        <f>L352/K351</f>
        <v>805.23</v>
      </c>
      <c r="M353" s="25">
        <f>M352/K351</f>
        <v>2453.9299999999998</v>
      </c>
      <c r="N353" s="25">
        <f>N352/K351</f>
        <v>4610.7700000000004</v>
      </c>
    </row>
    <row r="354" spans="1:17" ht="13.95" hidden="1" customHeight="1" x14ac:dyDescent="0.25">
      <c r="B354" s="28" t="s">
        <v>53</v>
      </c>
      <c r="C354" s="41">
        <v>0</v>
      </c>
      <c r="D354" s="42"/>
      <c r="E354" s="43"/>
      <c r="F354" s="43"/>
      <c r="G354" s="43"/>
      <c r="H354" s="44"/>
      <c r="I354" s="44"/>
      <c r="J354" s="44"/>
      <c r="K354" s="44"/>
    </row>
    <row r="355" spans="1:17" ht="13.95" hidden="1" customHeight="1" x14ac:dyDescent="0.25">
      <c r="B355" s="28" t="s">
        <v>55</v>
      </c>
      <c r="C355" s="41">
        <v>200669</v>
      </c>
      <c r="D355" s="42"/>
      <c r="E355" s="43"/>
      <c r="F355" s="43"/>
      <c r="G355" s="43"/>
      <c r="H355" s="44"/>
      <c r="I355" s="44"/>
      <c r="J355" s="44"/>
      <c r="K355" s="44"/>
      <c r="L355" s="25">
        <f>C352+515309</f>
        <v>603361</v>
      </c>
      <c r="M355" s="25">
        <f>C357+2499840</f>
        <v>2851806</v>
      </c>
      <c r="N355" s="25">
        <f>C353</f>
        <v>2026333</v>
      </c>
    </row>
    <row r="356" spans="1:17" ht="13.95" hidden="1" customHeight="1" x14ac:dyDescent="0.25">
      <c r="B356" s="28" t="s">
        <v>47</v>
      </c>
      <c r="C356" s="41">
        <v>833280</v>
      </c>
      <c r="D356" s="44"/>
      <c r="E356" s="43"/>
      <c r="F356" s="43"/>
      <c r="G356" s="43"/>
      <c r="H356" s="44"/>
      <c r="I356" s="44"/>
      <c r="J356" s="44"/>
      <c r="K356" s="44"/>
      <c r="L356" s="25">
        <f>L355-L352</f>
        <v>214437</v>
      </c>
      <c r="M356" s="25">
        <f>M355-M352</f>
        <v>1666560</v>
      </c>
      <c r="N356" s="25">
        <f>N355-N352</f>
        <v>-200669</v>
      </c>
    </row>
    <row r="357" spans="1:17" ht="13.95" hidden="1" customHeight="1" x14ac:dyDescent="0.25">
      <c r="B357" s="28" t="s">
        <v>48</v>
      </c>
      <c r="C357" s="41">
        <v>351966</v>
      </c>
      <c r="D357" s="44"/>
      <c r="E357" s="43"/>
      <c r="F357" s="43"/>
      <c r="G357" s="43"/>
      <c r="H357" s="44"/>
      <c r="I357" s="44"/>
      <c r="J357" s="44"/>
      <c r="K357" s="44"/>
      <c r="L357" s="25">
        <f>L356/K351</f>
        <v>443.97</v>
      </c>
      <c r="M357" s="25">
        <f>M356/K351</f>
        <v>3450.43</v>
      </c>
      <c r="N357" s="25">
        <f>N356/K351</f>
        <v>-415.46</v>
      </c>
    </row>
    <row r="358" spans="1:17" ht="13.95" hidden="1" customHeight="1" x14ac:dyDescent="0.25">
      <c r="B358" s="28" t="s">
        <v>49</v>
      </c>
      <c r="C358" s="41">
        <v>300872</v>
      </c>
      <c r="D358" s="44"/>
      <c r="E358" s="43"/>
      <c r="F358" s="43"/>
      <c r="G358" s="43"/>
      <c r="H358" s="44"/>
      <c r="I358" s="44"/>
      <c r="J358" s="44"/>
      <c r="K358" s="44"/>
      <c r="L358" s="25">
        <f>D351*L357</f>
        <v>91457.82</v>
      </c>
      <c r="M358" s="25">
        <f>M357*D351</f>
        <v>710788.58</v>
      </c>
      <c r="N358" s="25">
        <f>D351*N357</f>
        <v>-85584.76</v>
      </c>
      <c r="O358" s="25">
        <f>L358+M358+N358</f>
        <v>716661.64</v>
      </c>
    </row>
    <row r="359" spans="1:17" ht="13.95" hidden="1" customHeight="1" x14ac:dyDescent="0.25">
      <c r="B359" s="29" t="s">
        <v>50</v>
      </c>
      <c r="C359" s="41">
        <f>SUM(C352:C358)</f>
        <v>3801172</v>
      </c>
      <c r="D359" s="44"/>
      <c r="E359" s="43"/>
      <c r="F359" s="43"/>
      <c r="G359" s="43"/>
      <c r="H359" s="44"/>
      <c r="I359" s="44"/>
      <c r="J359" s="44"/>
      <c r="K359" s="44"/>
      <c r="L359" s="25">
        <f>G351*L357</f>
        <v>2219.85</v>
      </c>
      <c r="M359" s="25">
        <f>G351*M357</f>
        <v>17252.150000000001</v>
      </c>
      <c r="N359" s="25">
        <f>G351*N357</f>
        <v>-2077.3000000000002</v>
      </c>
      <c r="O359" s="25">
        <f>L359+M359+N359</f>
        <v>17394.7</v>
      </c>
    </row>
    <row r="360" spans="1:17" ht="13.95" hidden="1" customHeight="1" x14ac:dyDescent="0.25">
      <c r="L360" s="25">
        <f>H351*L357</f>
        <v>105664.86</v>
      </c>
      <c r="M360" s="25">
        <f>H351*M357</f>
        <v>821202.34</v>
      </c>
      <c r="N360" s="25">
        <f>H351*N357</f>
        <v>-98879.48</v>
      </c>
      <c r="O360" s="25">
        <f>L360+M360+N360</f>
        <v>827987.72</v>
      </c>
    </row>
    <row r="361" spans="1:17" ht="13.95" hidden="1" customHeight="1" x14ac:dyDescent="0.25">
      <c r="L361" s="25">
        <f>I351*L357</f>
        <v>443.97</v>
      </c>
      <c r="M361" s="25">
        <f>I351*M357</f>
        <v>3450.43</v>
      </c>
      <c r="N361" s="25">
        <f>I351*N357</f>
        <v>-415.46</v>
      </c>
      <c r="O361" s="25">
        <f>L361+M361+N361</f>
        <v>3478.94</v>
      </c>
    </row>
    <row r="362" spans="1:17" ht="13.95" hidden="1" customHeight="1" x14ac:dyDescent="0.25">
      <c r="L362" s="25">
        <f>J351*L357</f>
        <v>14651.01</v>
      </c>
      <c r="M362" s="25">
        <f>J351*M357</f>
        <v>113864.19</v>
      </c>
      <c r="N362" s="25">
        <f>J351*N357</f>
        <v>-13710.18</v>
      </c>
      <c r="O362" s="25">
        <f>L362+M362+N362</f>
        <v>114805.02</v>
      </c>
    </row>
    <row r="363" spans="1:17" ht="13.95" hidden="1" customHeight="1" x14ac:dyDescent="0.25">
      <c r="N363" s="1" t="s">
        <v>79</v>
      </c>
      <c r="O363" s="1" t="s">
        <v>80</v>
      </c>
      <c r="P363" s="1" t="s">
        <v>81</v>
      </c>
    </row>
    <row r="364" spans="1:17" ht="13.95" hidden="1" customHeight="1" x14ac:dyDescent="0.25">
      <c r="D364" s="39">
        <v>316</v>
      </c>
      <c r="E364" s="40"/>
      <c r="F364" s="40"/>
      <c r="G364" s="40">
        <v>2</v>
      </c>
      <c r="H364" s="39">
        <v>196</v>
      </c>
      <c r="I364" s="39">
        <v>206</v>
      </c>
      <c r="J364" s="39">
        <v>1</v>
      </c>
      <c r="K364" s="39">
        <v>51</v>
      </c>
      <c r="L364" s="39">
        <v>53</v>
      </c>
      <c r="M364" s="39">
        <f>D364+G364+H364+I364+J364+K364+L364</f>
        <v>825</v>
      </c>
    </row>
    <row r="365" spans="1:17" ht="27.6" hidden="1" customHeight="1" x14ac:dyDescent="0.25">
      <c r="A365" s="1" t="s">
        <v>86</v>
      </c>
      <c r="B365" s="24" t="s">
        <v>43</v>
      </c>
      <c r="C365" s="26">
        <v>150399</v>
      </c>
      <c r="D365" s="42"/>
      <c r="E365" s="43"/>
      <c r="F365" s="43"/>
      <c r="G365" s="43"/>
      <c r="H365" s="44"/>
      <c r="I365" s="44"/>
      <c r="J365" s="44"/>
      <c r="K365" s="39"/>
      <c r="L365" s="39"/>
      <c r="M365" s="39"/>
      <c r="N365" s="25">
        <f>C365+C371</f>
        <v>662764</v>
      </c>
      <c r="O365" s="25">
        <f>C369+C370</f>
        <v>1800175</v>
      </c>
      <c r="P365" s="25">
        <f>C366+C368</f>
        <v>182500</v>
      </c>
      <c r="Q365" s="25">
        <f>N365+O365+P365</f>
        <v>2645439</v>
      </c>
    </row>
    <row r="366" spans="1:17" ht="13.95" hidden="1" customHeight="1" x14ac:dyDescent="0.25">
      <c r="B366" s="28" t="s">
        <v>53</v>
      </c>
      <c r="C366" s="26">
        <v>179700</v>
      </c>
      <c r="D366" s="42"/>
      <c r="E366" s="43"/>
      <c r="F366" s="43"/>
      <c r="G366" s="43"/>
      <c r="H366" s="44"/>
      <c r="I366" s="44"/>
      <c r="J366" s="44"/>
      <c r="K366" s="39"/>
      <c r="L366" s="39"/>
      <c r="M366" s="39"/>
      <c r="N366" s="25">
        <f>N365/M364</f>
        <v>803.35</v>
      </c>
      <c r="O366" s="25">
        <f>O365/M364</f>
        <v>2182.0300000000002</v>
      </c>
      <c r="P366" s="25">
        <f>P365/M364</f>
        <v>221.21</v>
      </c>
    </row>
    <row r="367" spans="1:17" ht="13.95" hidden="1" customHeight="1" x14ac:dyDescent="0.25">
      <c r="B367" s="28" t="s">
        <v>53</v>
      </c>
      <c r="C367" s="26">
        <v>0</v>
      </c>
      <c r="D367" s="42"/>
      <c r="E367" s="43"/>
      <c r="F367" s="43"/>
      <c r="G367" s="43"/>
      <c r="H367" s="44"/>
      <c r="I367" s="44"/>
      <c r="J367" s="44"/>
      <c r="K367" s="39"/>
      <c r="L367" s="39"/>
      <c r="M367" s="39"/>
    </row>
    <row r="368" spans="1:17" ht="13.95" hidden="1" customHeight="1" x14ac:dyDescent="0.25">
      <c r="B368" s="28" t="s">
        <v>55</v>
      </c>
      <c r="C368" s="26">
        <v>2800</v>
      </c>
      <c r="D368" s="42"/>
      <c r="E368" s="43"/>
      <c r="F368" s="43"/>
      <c r="G368" s="43"/>
      <c r="H368" s="44"/>
      <c r="I368" s="44"/>
      <c r="J368" s="44"/>
      <c r="K368" s="39"/>
      <c r="L368" s="39"/>
      <c r="M368" s="39"/>
      <c r="N368" s="25">
        <f>C365+880187</f>
        <v>1030586</v>
      </c>
      <c r="O368" s="25">
        <f>C370+3874752</f>
        <v>4383343</v>
      </c>
      <c r="P368" s="25">
        <f>C366</f>
        <v>179700</v>
      </c>
    </row>
    <row r="369" spans="1:17" ht="13.95" hidden="1" customHeight="1" x14ac:dyDescent="0.25">
      <c r="B369" s="28" t="s">
        <v>47</v>
      </c>
      <c r="C369" s="26">
        <v>1291584</v>
      </c>
      <c r="D369" s="44"/>
      <c r="E369" s="43"/>
      <c r="F369" s="43"/>
      <c r="G369" s="43"/>
      <c r="H369" s="44"/>
      <c r="I369" s="44"/>
      <c r="J369" s="44"/>
      <c r="K369" s="39"/>
      <c r="L369" s="39"/>
      <c r="M369" s="39"/>
      <c r="N369" s="25">
        <f>N368-N365</f>
        <v>367822</v>
      </c>
      <c r="O369" s="25">
        <f>O368-O365</f>
        <v>2583168</v>
      </c>
      <c r="P369" s="25">
        <f>P368-P365</f>
        <v>-2800</v>
      </c>
    </row>
    <row r="370" spans="1:17" ht="13.95" hidden="1" customHeight="1" x14ac:dyDescent="0.25">
      <c r="B370" s="28" t="s">
        <v>48</v>
      </c>
      <c r="C370" s="26">
        <v>508591</v>
      </c>
      <c r="D370" s="44"/>
      <c r="E370" s="43"/>
      <c r="F370" s="43"/>
      <c r="G370" s="43"/>
      <c r="H370" s="44"/>
      <c r="I370" s="44"/>
      <c r="J370" s="44"/>
      <c r="K370" s="39"/>
      <c r="L370" s="39"/>
      <c r="M370" s="39"/>
      <c r="N370" s="25">
        <f>N369/M364</f>
        <v>445.84</v>
      </c>
      <c r="O370" s="25">
        <f>O369/M364</f>
        <v>3131.11</v>
      </c>
      <c r="P370" s="25">
        <f>P369/M364</f>
        <v>-3.39</v>
      </c>
    </row>
    <row r="371" spans="1:17" ht="13.95" hidden="1" customHeight="1" x14ac:dyDescent="0.25">
      <c r="B371" s="28" t="s">
        <v>49</v>
      </c>
      <c r="C371" s="26">
        <v>512365</v>
      </c>
      <c r="D371" s="44"/>
      <c r="E371" s="43"/>
      <c r="F371" s="43"/>
      <c r="G371" s="43"/>
      <c r="H371" s="44"/>
      <c r="I371" s="44"/>
      <c r="J371" s="44"/>
      <c r="K371" s="39"/>
      <c r="L371" s="39"/>
      <c r="M371" s="39"/>
      <c r="N371" s="25">
        <f>D364*N370</f>
        <v>140885.44</v>
      </c>
      <c r="O371" s="25">
        <f>D364*O370</f>
        <v>989430.76</v>
      </c>
      <c r="P371" s="25">
        <f>D364*P370</f>
        <v>-1071.24</v>
      </c>
      <c r="Q371" s="25">
        <f>N371+O371+P371</f>
        <v>1129244.96</v>
      </c>
    </row>
    <row r="372" spans="1:17" ht="13.95" hidden="1" customHeight="1" x14ac:dyDescent="0.25">
      <c r="B372" s="29" t="s">
        <v>50</v>
      </c>
      <c r="C372" s="41">
        <f>SUM(C365:C371)</f>
        <v>2645439</v>
      </c>
      <c r="D372" s="44"/>
      <c r="E372" s="43"/>
      <c r="F372" s="43"/>
      <c r="G372" s="43"/>
      <c r="H372" s="44"/>
      <c r="I372" s="44"/>
      <c r="J372" s="44"/>
      <c r="K372" s="39"/>
      <c r="L372" s="39"/>
      <c r="M372" s="39"/>
      <c r="N372" s="25">
        <f>G364*N370</f>
        <v>891.68</v>
      </c>
      <c r="O372" s="25">
        <f>G364*O370</f>
        <v>6262.22</v>
      </c>
      <c r="P372" s="25">
        <f>G364*P370</f>
        <v>-6.78</v>
      </c>
      <c r="Q372" s="25">
        <f t="shared" ref="Q372:Q377" si="89">N372+O372+P372</f>
        <v>7147.12</v>
      </c>
    </row>
    <row r="373" spans="1:17" ht="13.95" hidden="1" customHeight="1" x14ac:dyDescent="0.25">
      <c r="N373" s="25">
        <f>H364*N370</f>
        <v>87384.639999999999</v>
      </c>
      <c r="O373" s="25">
        <f>H364*O370</f>
        <v>613697.56000000006</v>
      </c>
      <c r="P373" s="25">
        <f>H364*P370</f>
        <v>-664.44</v>
      </c>
      <c r="Q373" s="25">
        <f t="shared" si="89"/>
        <v>700417.76</v>
      </c>
    </row>
    <row r="374" spans="1:17" ht="13.95" hidden="1" customHeight="1" x14ac:dyDescent="0.25">
      <c r="N374" s="25">
        <f>I364*N370</f>
        <v>91843.04</v>
      </c>
      <c r="O374" s="25">
        <f>I364*O370</f>
        <v>645008.66</v>
      </c>
      <c r="P374" s="25">
        <f>I364*P370</f>
        <v>-698.34</v>
      </c>
      <c r="Q374" s="25">
        <f t="shared" si="89"/>
        <v>736153.36</v>
      </c>
    </row>
    <row r="375" spans="1:17" ht="13.95" hidden="1" customHeight="1" x14ac:dyDescent="0.25">
      <c r="N375" s="25">
        <f>J364*N370</f>
        <v>445.84</v>
      </c>
      <c r="O375" s="25">
        <f>J364*O370</f>
        <v>3131.11</v>
      </c>
      <c r="P375" s="25">
        <f>J364*P370</f>
        <v>-3.39</v>
      </c>
      <c r="Q375" s="25">
        <f t="shared" si="89"/>
        <v>3573.56</v>
      </c>
    </row>
    <row r="376" spans="1:17" ht="13.95" hidden="1" customHeight="1" x14ac:dyDescent="0.25">
      <c r="N376" s="25">
        <f>K364*N370</f>
        <v>22737.84</v>
      </c>
      <c r="O376" s="25">
        <f>K364*O370</f>
        <v>159686.60999999999</v>
      </c>
      <c r="P376" s="25">
        <f>K364*P370</f>
        <v>-172.89</v>
      </c>
      <c r="Q376" s="25">
        <f t="shared" si="89"/>
        <v>182251.56</v>
      </c>
    </row>
    <row r="377" spans="1:17" ht="13.95" hidden="1" customHeight="1" x14ac:dyDescent="0.25">
      <c r="N377" s="25">
        <f>L364*N370</f>
        <v>23629.52</v>
      </c>
      <c r="O377" s="25">
        <f>L364*O370</f>
        <v>165948.82999999999</v>
      </c>
      <c r="P377" s="25">
        <f>L364*P370</f>
        <v>-179.67</v>
      </c>
      <c r="Q377" s="25">
        <f t="shared" si="89"/>
        <v>189398.68</v>
      </c>
    </row>
    <row r="378" spans="1:17" ht="13.95" hidden="1" customHeight="1" x14ac:dyDescent="0.25">
      <c r="M378" s="1" t="s">
        <v>79</v>
      </c>
      <c r="N378" s="1" t="s">
        <v>80</v>
      </c>
      <c r="O378" s="1" t="s">
        <v>81</v>
      </c>
    </row>
    <row r="379" spans="1:17" ht="13.95" hidden="1" customHeight="1" x14ac:dyDescent="0.25">
      <c r="D379" s="39">
        <v>67</v>
      </c>
      <c r="E379" s="40"/>
      <c r="F379" s="40"/>
      <c r="G379" s="40">
        <v>17</v>
      </c>
      <c r="H379" s="39">
        <v>1</v>
      </c>
      <c r="I379" s="39">
        <v>72</v>
      </c>
      <c r="J379" s="39">
        <v>44</v>
      </c>
      <c r="K379" s="39">
        <v>17</v>
      </c>
      <c r="L379" s="39">
        <f>D379+G379+H379+I379+J379+K379</f>
        <v>218</v>
      </c>
    </row>
    <row r="380" spans="1:17" ht="27.6" hidden="1" customHeight="1" x14ac:dyDescent="0.25">
      <c r="A380" s="1" t="s">
        <v>87</v>
      </c>
      <c r="B380" s="24" t="s">
        <v>43</v>
      </c>
      <c r="C380" s="41">
        <v>39742</v>
      </c>
      <c r="D380" s="42"/>
      <c r="E380" s="43"/>
      <c r="F380" s="43"/>
      <c r="G380" s="43"/>
      <c r="H380" s="44"/>
      <c r="I380" s="44"/>
      <c r="J380" s="44"/>
      <c r="K380" s="44"/>
      <c r="L380" s="44"/>
      <c r="M380" s="25">
        <f>C380+C382+C386</f>
        <v>195953</v>
      </c>
      <c r="N380" s="25">
        <f>C384+C385</f>
        <v>542463</v>
      </c>
      <c r="O380" s="25">
        <f>C381+C383</f>
        <v>2064267</v>
      </c>
      <c r="P380" s="25">
        <f>M380+N380+O380</f>
        <v>2802683</v>
      </c>
    </row>
    <row r="381" spans="1:17" ht="13.95" hidden="1" customHeight="1" x14ac:dyDescent="0.25">
      <c r="B381" s="28" t="s">
        <v>53</v>
      </c>
      <c r="C381" s="41">
        <v>1880332</v>
      </c>
      <c r="D381" s="42"/>
      <c r="E381" s="43"/>
      <c r="F381" s="43"/>
      <c r="G381" s="43"/>
      <c r="H381" s="44"/>
      <c r="I381" s="44"/>
      <c r="J381" s="44"/>
      <c r="K381" s="44"/>
      <c r="L381" s="39"/>
      <c r="M381" s="25">
        <f>M380/L379</f>
        <v>898.87</v>
      </c>
      <c r="N381" s="25">
        <f>N380/L379</f>
        <v>2488.36</v>
      </c>
      <c r="O381" s="25">
        <f>O380/L379</f>
        <v>9469.11</v>
      </c>
    </row>
    <row r="382" spans="1:17" ht="13.95" hidden="1" customHeight="1" x14ac:dyDescent="0.25">
      <c r="B382" s="28" t="s">
        <v>53</v>
      </c>
      <c r="C382" s="41">
        <v>21109</v>
      </c>
      <c r="D382" s="42"/>
      <c r="E382" s="43"/>
      <c r="F382" s="43"/>
      <c r="G382" s="43"/>
      <c r="H382" s="44"/>
      <c r="I382" s="44"/>
      <c r="J382" s="44"/>
      <c r="K382" s="44"/>
      <c r="L382" s="39"/>
    </row>
    <row r="383" spans="1:17" ht="13.95" hidden="1" customHeight="1" x14ac:dyDescent="0.25">
      <c r="B383" s="28" t="s">
        <v>55</v>
      </c>
      <c r="C383" s="41">
        <v>183935</v>
      </c>
      <c r="D383" s="42"/>
      <c r="E383" s="43"/>
      <c r="F383" s="43"/>
      <c r="G383" s="43"/>
      <c r="H383" s="44"/>
      <c r="I383" s="44"/>
      <c r="J383" s="44"/>
      <c r="K383" s="44"/>
      <c r="L383" s="39"/>
      <c r="M383" s="25">
        <f>C380+232583</f>
        <v>272325</v>
      </c>
      <c r="N383" s="25">
        <f>C385+1499904</f>
        <v>1542399</v>
      </c>
      <c r="O383" s="25">
        <f>C381</f>
        <v>1880332</v>
      </c>
    </row>
    <row r="384" spans="1:17" ht="13.95" hidden="1" customHeight="1" x14ac:dyDescent="0.25">
      <c r="B384" s="28" t="s">
        <v>47</v>
      </c>
      <c r="C384" s="41">
        <v>499968</v>
      </c>
      <c r="D384" s="44"/>
      <c r="E384" s="43"/>
      <c r="F384" s="43"/>
      <c r="G384" s="43"/>
      <c r="H384" s="44"/>
      <c r="I384" s="44"/>
      <c r="J384" s="44"/>
      <c r="K384" s="44"/>
      <c r="L384" s="39"/>
      <c r="M384" s="25">
        <f>M383-M380</f>
        <v>76372</v>
      </c>
      <c r="N384" s="25">
        <f>N383-N380</f>
        <v>999936</v>
      </c>
      <c r="O384" s="25">
        <f>O383-O380</f>
        <v>-183935</v>
      </c>
    </row>
    <row r="385" spans="2:16" ht="13.95" hidden="1" customHeight="1" x14ac:dyDescent="0.25">
      <c r="B385" s="28" t="s">
        <v>48</v>
      </c>
      <c r="C385" s="41">
        <v>42495</v>
      </c>
      <c r="D385" s="44"/>
      <c r="E385" s="43"/>
      <c r="F385" s="43"/>
      <c r="G385" s="43"/>
      <c r="H385" s="44"/>
      <c r="I385" s="44"/>
      <c r="J385" s="44"/>
      <c r="K385" s="44"/>
      <c r="L385" s="39"/>
      <c r="M385" s="25">
        <f>M384/L379</f>
        <v>350.33</v>
      </c>
      <c r="N385" s="25">
        <f>N384/L379</f>
        <v>4586.8599999999997</v>
      </c>
      <c r="O385" s="25">
        <f>O384/L379</f>
        <v>-843.74</v>
      </c>
    </row>
    <row r="386" spans="2:16" ht="13.95" hidden="1" customHeight="1" x14ac:dyDescent="0.25">
      <c r="B386" s="28" t="s">
        <v>49</v>
      </c>
      <c r="C386" s="41">
        <v>135102</v>
      </c>
      <c r="D386" s="44"/>
      <c r="E386" s="43"/>
      <c r="F386" s="43"/>
      <c r="G386" s="43"/>
      <c r="H386" s="44"/>
      <c r="I386" s="44"/>
      <c r="J386" s="44"/>
      <c r="K386" s="44"/>
      <c r="L386" s="39"/>
      <c r="M386" s="25">
        <f>D379*M385</f>
        <v>23472.11</v>
      </c>
      <c r="N386" s="25">
        <f>D379*N385</f>
        <v>307319.62</v>
      </c>
      <c r="O386" s="25">
        <f>D379*O385</f>
        <v>-56530.58</v>
      </c>
      <c r="P386" s="25">
        <f t="shared" ref="P386:P391" si="90">M386+N386+O386</f>
        <v>274261.15000000002</v>
      </c>
    </row>
    <row r="387" spans="2:16" ht="13.95" hidden="1" customHeight="1" x14ac:dyDescent="0.25">
      <c r="B387" s="29" t="s">
        <v>50</v>
      </c>
      <c r="C387" s="41">
        <f>SUM(C380:C386)</f>
        <v>2802683</v>
      </c>
      <c r="D387" s="44"/>
      <c r="E387" s="43"/>
      <c r="F387" s="43"/>
      <c r="G387" s="43"/>
      <c r="H387" s="44"/>
      <c r="I387" s="44"/>
      <c r="J387" s="44"/>
      <c r="K387" s="44"/>
      <c r="L387" s="39"/>
      <c r="M387" s="25">
        <f>G379*M385</f>
        <v>5955.61</v>
      </c>
      <c r="N387" s="25">
        <f>G379*N385</f>
        <v>77976.62</v>
      </c>
      <c r="O387" s="25">
        <f>G379*O385</f>
        <v>-14343.58</v>
      </c>
      <c r="P387" s="25">
        <f t="shared" si="90"/>
        <v>69588.649999999994</v>
      </c>
    </row>
    <row r="388" spans="2:16" ht="13.95" hidden="1" customHeight="1" x14ac:dyDescent="0.25">
      <c r="M388" s="25">
        <f>H379*M385</f>
        <v>350.33</v>
      </c>
      <c r="N388" s="25">
        <f>H379*N385</f>
        <v>4586.8599999999997</v>
      </c>
      <c r="O388" s="25">
        <f>H379*O385</f>
        <v>-843.74</v>
      </c>
      <c r="P388" s="25">
        <f t="shared" si="90"/>
        <v>4093.45</v>
      </c>
    </row>
    <row r="389" spans="2:16" ht="13.95" hidden="1" customHeight="1" x14ac:dyDescent="0.25">
      <c r="M389" s="25">
        <f>I379*M385</f>
        <v>25223.759999999998</v>
      </c>
      <c r="N389" s="25">
        <f>I379*N385</f>
        <v>330253.92</v>
      </c>
      <c r="O389" s="25">
        <f>I379*O385</f>
        <v>-60749.279999999999</v>
      </c>
      <c r="P389" s="25">
        <f t="shared" si="90"/>
        <v>294728.40000000002</v>
      </c>
    </row>
    <row r="390" spans="2:16" ht="13.95" hidden="1" customHeight="1" x14ac:dyDescent="0.25">
      <c r="M390" s="25">
        <f>J379*M385</f>
        <v>15414.52</v>
      </c>
      <c r="N390" s="25">
        <f>J379*N385</f>
        <v>201821.84</v>
      </c>
      <c r="O390" s="25">
        <f>J379*O385</f>
        <v>-37124.559999999998</v>
      </c>
      <c r="P390" s="25">
        <f t="shared" si="90"/>
        <v>180111.8</v>
      </c>
    </row>
    <row r="391" spans="2:16" ht="13.95" hidden="1" customHeight="1" x14ac:dyDescent="0.25">
      <c r="M391" s="25">
        <f>K379*M385</f>
        <v>5955.61</v>
      </c>
      <c r="N391" s="25">
        <f>K379*N385</f>
        <v>77976.62</v>
      </c>
      <c r="O391" s="25">
        <f>K379*O385</f>
        <v>-14343.58</v>
      </c>
      <c r="P391" s="25">
        <f t="shared" si="90"/>
        <v>69588.649999999994</v>
      </c>
    </row>
    <row r="392" spans="2:16" ht="13.95" hidden="1" customHeight="1" x14ac:dyDescent="0.25"/>
    <row r="393" spans="2:16" ht="13.95" hidden="1" customHeight="1" x14ac:dyDescent="0.25"/>
    <row r="394" spans="2:16" ht="13.95" hidden="1" customHeight="1" x14ac:dyDescent="0.25"/>
    <row r="395" spans="2:16" ht="13.95" hidden="1" customHeight="1" x14ac:dyDescent="0.25"/>
  </sheetData>
  <mergeCells count="44">
    <mergeCell ref="C80:C81"/>
    <mergeCell ref="B80:B81"/>
    <mergeCell ref="B120:B121"/>
    <mergeCell ref="C120:C121"/>
    <mergeCell ref="C161:C162"/>
    <mergeCell ref="B161:B162"/>
    <mergeCell ref="C38:C39"/>
    <mergeCell ref="A4:U4"/>
    <mergeCell ref="A5:C5"/>
    <mergeCell ref="A6:A7"/>
    <mergeCell ref="B6:B7"/>
    <mergeCell ref="D6:D7"/>
    <mergeCell ref="E6:I6"/>
    <mergeCell ref="J6:M6"/>
    <mergeCell ref="N6:U6"/>
    <mergeCell ref="A9:A48"/>
    <mergeCell ref="B9:B21"/>
    <mergeCell ref="B22:B28"/>
    <mergeCell ref="B31:B35"/>
    <mergeCell ref="A49:A90"/>
    <mergeCell ref="B49:B61"/>
    <mergeCell ref="B62:B71"/>
    <mergeCell ref="B74:B77"/>
    <mergeCell ref="B38:B39"/>
    <mergeCell ref="A91:A130"/>
    <mergeCell ref="B91:B101"/>
    <mergeCell ref="B102:B109"/>
    <mergeCell ref="B112:B117"/>
    <mergeCell ref="A131:A172"/>
    <mergeCell ref="B131:B143"/>
    <mergeCell ref="B144:B152"/>
    <mergeCell ref="B155:B158"/>
    <mergeCell ref="B259:M259"/>
    <mergeCell ref="A173:A217"/>
    <mergeCell ref="B173:B185"/>
    <mergeCell ref="B186:B197"/>
    <mergeCell ref="B198:B205"/>
    <mergeCell ref="A218:A258"/>
    <mergeCell ref="B218:B229"/>
    <mergeCell ref="B230:B232"/>
    <mergeCell ref="C247:C248"/>
    <mergeCell ref="B247:B248"/>
    <mergeCell ref="B206:B208"/>
    <mergeCell ref="C206:C207"/>
  </mergeCells>
  <pageMargins left="0" right="0" top="0.19685039370078741" bottom="0" header="0.31496062992125984" footer="0.31496062992125984"/>
  <pageSetup paperSize="9" scale="4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AO22"/>
  <sheetViews>
    <sheetView tabSelected="1" zoomScale="70" zoomScaleNormal="70" workbookViewId="0">
      <selection activeCell="AM10" sqref="AM10"/>
    </sheetView>
  </sheetViews>
  <sheetFormatPr defaultColWidth="8.88671875" defaultRowHeight="13.8" x14ac:dyDescent="0.25"/>
  <cols>
    <col min="1" max="1" width="25" style="48" customWidth="1"/>
    <col min="2" max="2" width="15.109375" style="48" customWidth="1"/>
    <col min="3" max="3" width="15.33203125" style="48" customWidth="1"/>
    <col min="4" max="4" width="15.5546875" style="48" customWidth="1"/>
    <col min="5" max="5" width="15.6640625" style="48" customWidth="1"/>
    <col min="6" max="6" width="11.6640625" style="48" hidden="1" customWidth="1"/>
    <col min="7" max="7" width="16.33203125" style="48" customWidth="1"/>
    <col min="8" max="10" width="14.88671875" style="48" customWidth="1"/>
    <col min="11" max="12" width="15.6640625" style="48" customWidth="1"/>
    <col min="13" max="13" width="16.33203125" style="48" customWidth="1"/>
    <col min="14" max="14" width="8.6640625" style="48" hidden="1" customWidth="1"/>
    <col min="15" max="15" width="8" style="49" customWidth="1"/>
    <col min="16" max="16" width="8.6640625" style="49" customWidth="1"/>
    <col min="17" max="17" width="9.6640625" style="49" customWidth="1"/>
    <col min="18" max="18" width="8.33203125" style="49" customWidth="1"/>
    <col min="19" max="19" width="11.5546875" style="49" customWidth="1"/>
    <col min="20" max="20" width="15.88671875" style="48" customWidth="1"/>
    <col min="21" max="21" width="14.109375" style="48" customWidth="1"/>
    <col min="22" max="22" width="15.88671875" style="48" customWidth="1"/>
    <col min="23" max="23" width="14.6640625" style="48" customWidth="1"/>
    <col min="24" max="24" width="15.109375" style="48" customWidth="1"/>
    <col min="25" max="25" width="16.109375" style="48" customWidth="1"/>
    <col min="26" max="26" width="16" style="48" customWidth="1"/>
    <col min="27" max="27" width="14.88671875" style="48" customWidth="1"/>
    <col min="28" max="28" width="14.6640625" style="48" customWidth="1"/>
    <col min="29" max="29" width="15.33203125" style="48" customWidth="1"/>
    <col min="30" max="30" width="17" style="48" customWidth="1"/>
    <col min="31" max="31" width="16.33203125" style="48" customWidth="1"/>
    <col min="32" max="32" width="15.6640625" style="48" hidden="1" customWidth="1"/>
    <col min="33" max="33" width="15.5546875" style="48" hidden="1" customWidth="1"/>
    <col min="34" max="34" width="15.5546875" style="48" customWidth="1"/>
    <col min="35" max="35" width="19.33203125" style="48" hidden="1" customWidth="1"/>
    <col min="36" max="36" width="13.109375" style="48" hidden="1" customWidth="1"/>
    <col min="37" max="37" width="12.33203125" style="48" hidden="1" customWidth="1"/>
    <col min="38" max="38" width="15.44140625" style="48" customWidth="1"/>
    <col min="39" max="39" width="14.6640625" style="48" customWidth="1"/>
    <col min="40" max="40" width="3.6640625" style="48" customWidth="1"/>
    <col min="41" max="41" width="15.6640625" style="48" hidden="1" customWidth="1"/>
    <col min="42" max="16384" width="8.88671875" style="48"/>
  </cols>
  <sheetData>
    <row r="2" spans="1:41" ht="13.95" customHeight="1" x14ac:dyDescent="0.25">
      <c r="X2" s="867" t="s">
        <v>88</v>
      </c>
      <c r="Y2" s="867"/>
      <c r="Z2" s="348"/>
      <c r="AA2" s="348"/>
      <c r="AB2" s="348"/>
      <c r="AC2" s="348"/>
      <c r="AD2" s="345"/>
      <c r="AE2" s="345"/>
      <c r="AF2" s="345"/>
    </row>
    <row r="3" spans="1:41" ht="14.4" customHeight="1" x14ac:dyDescent="0.25">
      <c r="X3" s="868" t="s">
        <v>654</v>
      </c>
      <c r="Y3" s="868"/>
      <c r="Z3" s="349"/>
      <c r="AA3" s="349"/>
      <c r="AB3" s="349"/>
      <c r="AC3" s="349"/>
      <c r="AD3" s="346"/>
      <c r="AE3" s="346"/>
    </row>
    <row r="4" spans="1:41" x14ac:dyDescent="0.25">
      <c r="AH4" s="50"/>
    </row>
    <row r="5" spans="1:41" ht="18" customHeight="1" x14ac:dyDescent="0.35">
      <c r="A5" s="854" t="s">
        <v>564</v>
      </c>
      <c r="B5" s="854"/>
      <c r="C5" s="854"/>
      <c r="D5" s="854"/>
      <c r="E5" s="854"/>
      <c r="F5" s="854"/>
      <c r="G5" s="854"/>
      <c r="H5" s="854"/>
      <c r="I5" s="854"/>
      <c r="J5" s="854"/>
      <c r="K5" s="854"/>
      <c r="L5" s="854"/>
      <c r="M5" s="355"/>
      <c r="N5" s="355"/>
      <c r="O5" s="355"/>
      <c r="P5" s="355"/>
      <c r="Q5" s="355"/>
      <c r="R5" s="355"/>
      <c r="S5" s="367"/>
      <c r="T5" s="51"/>
      <c r="U5" s="51"/>
      <c r="V5" s="51"/>
      <c r="W5" s="51"/>
      <c r="X5" s="75"/>
    </row>
    <row r="6" spans="1:41" ht="15.6" x14ac:dyDescent="0.3">
      <c r="A6" s="82" t="s">
        <v>89</v>
      </c>
      <c r="B6" s="52"/>
      <c r="T6" s="53"/>
      <c r="U6" s="53"/>
      <c r="V6" s="54"/>
      <c r="W6" s="54"/>
      <c r="X6" s="53"/>
      <c r="Y6" s="53"/>
    </row>
    <row r="7" spans="1:41" ht="97.2" customHeight="1" x14ac:dyDescent="0.25">
      <c r="A7" s="855" t="s">
        <v>2</v>
      </c>
      <c r="B7" s="862" t="s">
        <v>565</v>
      </c>
      <c r="C7" s="863"/>
      <c r="D7" s="863"/>
      <c r="E7" s="863"/>
      <c r="F7" s="356"/>
      <c r="G7" s="857" t="s">
        <v>90</v>
      </c>
      <c r="H7" s="864" t="s">
        <v>91</v>
      </c>
      <c r="I7" s="865"/>
      <c r="J7" s="865"/>
      <c r="K7" s="865"/>
      <c r="L7" s="866"/>
      <c r="M7" s="347"/>
      <c r="N7" s="55"/>
      <c r="O7" s="859" t="s">
        <v>568</v>
      </c>
      <c r="P7" s="860"/>
      <c r="Q7" s="860"/>
      <c r="R7" s="861"/>
      <c r="S7" s="368"/>
      <c r="T7" s="869" t="s">
        <v>338</v>
      </c>
      <c r="U7" s="870"/>
      <c r="V7" s="870"/>
      <c r="W7" s="870"/>
      <c r="X7" s="870"/>
      <c r="Y7" s="871"/>
      <c r="Z7" s="864" t="s">
        <v>287</v>
      </c>
      <c r="AA7" s="865"/>
      <c r="AB7" s="865"/>
      <c r="AC7" s="866"/>
      <c r="AD7" s="56" t="s">
        <v>338</v>
      </c>
      <c r="AE7" s="56" t="s">
        <v>439</v>
      </c>
      <c r="AF7" s="350" t="s">
        <v>92</v>
      </c>
      <c r="AG7" s="351"/>
      <c r="AH7" s="56" t="s">
        <v>566</v>
      </c>
      <c r="AI7" s="352" t="s">
        <v>2</v>
      </c>
      <c r="AJ7" s="821" t="s">
        <v>583</v>
      </c>
      <c r="AK7" s="822"/>
      <c r="AL7" s="822"/>
    </row>
    <row r="8" spans="1:41" ht="153" customHeight="1" x14ac:dyDescent="0.25">
      <c r="A8" s="856"/>
      <c r="B8" s="57" t="s">
        <v>93</v>
      </c>
      <c r="C8" s="57" t="s">
        <v>94</v>
      </c>
      <c r="D8" s="57" t="s">
        <v>95</v>
      </c>
      <c r="E8" s="58" t="s">
        <v>96</v>
      </c>
      <c r="F8" s="58" t="s">
        <v>97</v>
      </c>
      <c r="G8" s="858"/>
      <c r="H8" s="56" t="s">
        <v>98</v>
      </c>
      <c r="I8" s="56" t="s">
        <v>99</v>
      </c>
      <c r="J8" s="56" t="s">
        <v>100</v>
      </c>
      <c r="K8" s="56" t="s">
        <v>16</v>
      </c>
      <c r="L8" s="59" t="s">
        <v>97</v>
      </c>
      <c r="M8" s="60" t="s">
        <v>9</v>
      </c>
      <c r="N8" s="61" t="s">
        <v>101</v>
      </c>
      <c r="O8" s="56" t="s">
        <v>102</v>
      </c>
      <c r="P8" s="59" t="s">
        <v>103</v>
      </c>
      <c r="Q8" s="56" t="s">
        <v>100</v>
      </c>
      <c r="R8" s="56" t="s">
        <v>16</v>
      </c>
      <c r="S8" s="63" t="s">
        <v>289</v>
      </c>
      <c r="T8" s="62" t="s">
        <v>104</v>
      </c>
      <c r="U8" s="59" t="s">
        <v>105</v>
      </c>
      <c r="V8" s="62" t="s">
        <v>100</v>
      </c>
      <c r="W8" s="62" t="s">
        <v>106</v>
      </c>
      <c r="X8" s="788" t="s">
        <v>16</v>
      </c>
      <c r="Y8" s="357" t="s">
        <v>107</v>
      </c>
      <c r="Z8" s="358" t="s">
        <v>93</v>
      </c>
      <c r="AA8" s="358" t="s">
        <v>94</v>
      </c>
      <c r="AB8" s="358" t="s">
        <v>95</v>
      </c>
      <c r="AC8" s="359" t="s">
        <v>96</v>
      </c>
      <c r="AD8" s="63" t="s">
        <v>107</v>
      </c>
      <c r="AE8" s="63" t="s">
        <v>107</v>
      </c>
      <c r="AF8" s="56" t="s">
        <v>100</v>
      </c>
      <c r="AG8" s="56" t="s">
        <v>16</v>
      </c>
      <c r="AH8" s="63" t="s">
        <v>107</v>
      </c>
      <c r="AI8" s="353"/>
      <c r="AJ8" s="668"/>
      <c r="AL8" s="448" t="s">
        <v>658</v>
      </c>
      <c r="AM8" s="308" t="s">
        <v>659</v>
      </c>
      <c r="AO8" s="633" t="s">
        <v>455</v>
      </c>
    </row>
    <row r="9" spans="1:41" ht="22.95" customHeight="1" x14ac:dyDescent="0.25">
      <c r="A9" s="64" t="s">
        <v>18</v>
      </c>
      <c r="B9" s="852" t="s">
        <v>18</v>
      </c>
      <c r="C9" s="853"/>
      <c r="D9" s="853"/>
      <c r="E9" s="853"/>
      <c r="F9" s="354"/>
      <c r="G9" s="56" t="s">
        <v>21</v>
      </c>
      <c r="H9" s="56" t="s">
        <v>21</v>
      </c>
      <c r="I9" s="56" t="s">
        <v>21</v>
      </c>
      <c r="J9" s="56" t="s">
        <v>21</v>
      </c>
      <c r="K9" s="56" t="s">
        <v>21</v>
      </c>
      <c r="L9" s="62" t="s">
        <v>21</v>
      </c>
      <c r="M9" s="56" t="s">
        <v>21</v>
      </c>
      <c r="N9" s="56" t="s">
        <v>21</v>
      </c>
      <c r="O9" s="347"/>
      <c r="P9" s="347"/>
      <c r="Q9" s="347"/>
      <c r="R9" s="347"/>
      <c r="S9" s="366"/>
      <c r="T9" s="62" t="s">
        <v>21</v>
      </c>
      <c r="U9" s="62" t="s">
        <v>21</v>
      </c>
      <c r="V9" s="62" t="s">
        <v>21</v>
      </c>
      <c r="W9" s="62" t="s">
        <v>21</v>
      </c>
      <c r="X9" s="788" t="s">
        <v>21</v>
      </c>
      <c r="Y9" s="62" t="s">
        <v>21</v>
      </c>
      <c r="Z9" s="360" t="s">
        <v>21</v>
      </c>
      <c r="AA9" s="360" t="s">
        <v>21</v>
      </c>
      <c r="AB9" s="360" t="s">
        <v>21</v>
      </c>
      <c r="AC9" s="360" t="s">
        <v>21</v>
      </c>
      <c r="AD9" s="56" t="s">
        <v>21</v>
      </c>
      <c r="AE9" s="56" t="s">
        <v>21</v>
      </c>
      <c r="AF9" s="56" t="s">
        <v>21</v>
      </c>
      <c r="AG9" s="56" t="s">
        <v>21</v>
      </c>
      <c r="AH9" s="56" t="s">
        <v>21</v>
      </c>
      <c r="AI9" s="64" t="s">
        <v>18</v>
      </c>
      <c r="AJ9" s="669"/>
      <c r="AM9" s="447"/>
      <c r="AO9" s="634"/>
    </row>
    <row r="10" spans="1:41" ht="42" customHeight="1" x14ac:dyDescent="0.25">
      <c r="A10" s="65" t="s">
        <v>108</v>
      </c>
      <c r="B10" s="66">
        <f>'прилож.3-школы'!$N$21+'прилож.3-школы'!$N$42+'прилож.3-школы'!P41</f>
        <v>41257646.719999999</v>
      </c>
      <c r="C10" s="66">
        <f>'прилож.3-школы'!$N$30</f>
        <v>44081209.299999997</v>
      </c>
      <c r="D10" s="66">
        <f>'прилож.3-школы'!$N$37</f>
        <v>9067342.7100000009</v>
      </c>
      <c r="E10" s="67">
        <f>'прилож.3-школы'!$N$40</f>
        <v>7529741.4400000004</v>
      </c>
      <c r="F10" s="68">
        <v>0</v>
      </c>
      <c r="G10" s="71">
        <f t="shared" ref="G10:G16" si="0">SUM(B10:F10)</f>
        <v>101935940.17</v>
      </c>
      <c r="H10" s="69">
        <f>'прилож.3-школы'!$O$48-'прилож.4-школы'!I10-'прилож.4-школы'!L10</f>
        <v>51742601.630000003</v>
      </c>
      <c r="I10" s="69">
        <f t="shared" ref="I10:I15" si="1">E10</f>
        <v>7529741.4400000004</v>
      </c>
      <c r="J10" s="69">
        <f>'прилож.3-школы'!$P$48</f>
        <v>14759037.050000001</v>
      </c>
      <c r="K10" s="67">
        <f>'прилож.3-школы'!$R$48</f>
        <v>20873760.050000001</v>
      </c>
      <c r="L10" s="67">
        <f>'прилож.3-школы'!$O$45</f>
        <v>7030800</v>
      </c>
      <c r="M10" s="71">
        <f>SUM(H10:L10)</f>
        <v>101935940.17</v>
      </c>
      <c r="N10" s="70"/>
      <c r="O10" s="67">
        <f t="shared" ref="O10:O16" si="2">T10/H10</f>
        <v>1.08</v>
      </c>
      <c r="P10" s="67">
        <f>U10/E10</f>
        <v>1.08</v>
      </c>
      <c r="Q10" s="67">
        <f t="shared" ref="Q10:Q16" si="3">V10/J10</f>
        <v>1.1200000000000001</v>
      </c>
      <c r="R10" s="68">
        <f>X10/K10</f>
        <v>1.01</v>
      </c>
      <c r="S10" s="68">
        <f>(Y10-U10)/(G10-E10)</f>
        <v>1.06</v>
      </c>
      <c r="T10" s="819">
        <f>48905789+537930+5212875+1109252</f>
        <v>55765846</v>
      </c>
      <c r="U10" s="818">
        <f>6878358+554517+674186</f>
        <v>8107061</v>
      </c>
      <c r="V10" s="818">
        <f>16373523+171821</f>
        <v>16545344</v>
      </c>
      <c r="W10" s="67">
        <f t="shared" ref="W10:W15" si="4">L10</f>
        <v>7030800</v>
      </c>
      <c r="X10" s="806">
        <f>17045758+3888020+194217.36+7034.23</f>
        <v>21135029.59</v>
      </c>
      <c r="Y10" s="71">
        <f>SUM(T10:X10)</f>
        <v>108584080.59</v>
      </c>
      <c r="Z10" s="361">
        <f>B10*ROUND((Y10-U10)/(G10-E10),11)</f>
        <v>43910732.909999996</v>
      </c>
      <c r="AA10" s="361">
        <f>C10*ROUND((Y10-U10)/(G10-E10),11)</f>
        <v>46915865.590000004</v>
      </c>
      <c r="AB10" s="361">
        <f>D10*ROUND((Y10-U10)/(G10-E10),11)</f>
        <v>9650421.0899999999</v>
      </c>
      <c r="AC10" s="361">
        <f>U10</f>
        <v>8107061</v>
      </c>
      <c r="AD10" s="67">
        <f>SUM(Z10:AC10)</f>
        <v>108584080.59</v>
      </c>
      <c r="AE10" s="67">
        <f>87899873+8766565.34</f>
        <v>96666438.340000004</v>
      </c>
      <c r="AF10" s="67">
        <f t="shared" ref="AF10:AG10" si="5">62181472+Y10</f>
        <v>170765552.59</v>
      </c>
      <c r="AG10" s="67">
        <f t="shared" si="5"/>
        <v>106092204.91</v>
      </c>
      <c r="AH10" s="67">
        <f>87899873+8538815.33</f>
        <v>96438688.329999998</v>
      </c>
      <c r="AI10" s="65" t="s">
        <v>108</v>
      </c>
      <c r="AJ10" s="789">
        <f>K10-X10</f>
        <v>-261269.54</v>
      </c>
      <c r="AK10" s="72"/>
      <c r="AL10" s="72">
        <f>('прилож.3-школы'!N35+'прилож.3-школы'!N36)*S10</f>
        <v>4582345.74</v>
      </c>
      <c r="AM10" s="72">
        <f>AB10-AL10</f>
        <v>5068075.3499999996</v>
      </c>
      <c r="AO10" s="635">
        <f>Y10-W10</f>
        <v>101553280.59</v>
      </c>
    </row>
    <row r="11" spans="1:41" ht="36.6" customHeight="1" x14ac:dyDescent="0.25">
      <c r="A11" s="73" t="s">
        <v>51</v>
      </c>
      <c r="B11" s="66">
        <f>'прилож.3-школы'!$N$61+'прилож.3-школы'!$N$83</f>
        <v>31458595.510000002</v>
      </c>
      <c r="C11" s="67">
        <f>'прилож.3-школы'!$N$73</f>
        <v>36181224.390000001</v>
      </c>
      <c r="D11" s="67">
        <f>'прилож.3-школы'!$N$79</f>
        <v>4873016.9000000004</v>
      </c>
      <c r="E11" s="67">
        <f>'прилож.3-школы'!$N$82</f>
        <v>7555370.2400000002</v>
      </c>
      <c r="F11" s="68">
        <v>0</v>
      </c>
      <c r="G11" s="71">
        <f t="shared" si="0"/>
        <v>80068207.040000007</v>
      </c>
      <c r="H11" s="69">
        <f>'прилож.3-школы'!$O$90-'прилож.4-школы'!I11-'прилож.4-школы'!L11</f>
        <v>40792233.460000001</v>
      </c>
      <c r="I11" s="69">
        <f t="shared" si="1"/>
        <v>7555370.2400000002</v>
      </c>
      <c r="J11" s="69">
        <f>'прилож.3-школы'!$P$90</f>
        <v>10828272.17</v>
      </c>
      <c r="K11" s="67">
        <f>'прилож.3-школы'!$R$90</f>
        <v>15502051.17</v>
      </c>
      <c r="L11" s="67">
        <f>'прилож.3-школы'!$O$87</f>
        <v>5390280</v>
      </c>
      <c r="M11" s="71">
        <f t="shared" ref="M11:M16" si="6">SUM(H11:L11)</f>
        <v>80068207.040000007</v>
      </c>
      <c r="N11" s="70"/>
      <c r="O11" s="67">
        <f t="shared" si="2"/>
        <v>1.17</v>
      </c>
      <c r="P11" s="67">
        <f t="shared" ref="P11:P16" si="7">U11/I11</f>
        <v>1.0900000000000001</v>
      </c>
      <c r="Q11" s="67">
        <f t="shared" si="3"/>
        <v>1.1200000000000001</v>
      </c>
      <c r="R11" s="68">
        <f t="shared" ref="R11:R16" si="8">X11/K11</f>
        <v>1.1200000000000001</v>
      </c>
      <c r="S11" s="68">
        <f t="shared" ref="S11:S14" si="9">(Y11-U11)/(G11-E11)</f>
        <v>1.1399999999999999</v>
      </c>
      <c r="T11" s="819">
        <f>40285890+537930+4741517+2099745</f>
        <v>47665082</v>
      </c>
      <c r="U11" s="818">
        <f>7790901+185933+226058</f>
        <v>8202892</v>
      </c>
      <c r="V11" s="819">
        <f>12039758+126197</f>
        <v>12165955</v>
      </c>
      <c r="W11" s="67">
        <f t="shared" si="4"/>
        <v>5390280</v>
      </c>
      <c r="X11" s="806">
        <f>11895411.4+5133527.99+259542</f>
        <v>17288481.390000001</v>
      </c>
      <c r="Y11" s="74">
        <f t="shared" ref="Y11:Y15" si="10">SUM(T11:X11)</f>
        <v>90712690.390000001</v>
      </c>
      <c r="Z11" s="361">
        <f t="shared" ref="Z11:Z14" si="11">B11*ROUND((Y11-U11)/(G11-E11),11)</f>
        <v>35795625.82</v>
      </c>
      <c r="AA11" s="361">
        <f t="shared" ref="AA11:AA15" si="12">C11*ROUND((Y11-U11)/(G11-E11),11)</f>
        <v>41169338.579999998</v>
      </c>
      <c r="AB11" s="361">
        <f t="shared" ref="AB11:AB15" si="13">D11*ROUND((Y11-U11)/(G11-E11),11)</f>
        <v>5544833.9900000002</v>
      </c>
      <c r="AC11" s="361">
        <f t="shared" ref="AC11:AC15" si="14">U11</f>
        <v>8202892</v>
      </c>
      <c r="AD11" s="67">
        <f t="shared" ref="AD11:AD15" si="15">SUM(Z11:AC11)</f>
        <v>90712690.390000001</v>
      </c>
      <c r="AE11" s="67">
        <f>73875531.7+6512263.24</f>
        <v>80387794.939999998</v>
      </c>
      <c r="AF11" s="67">
        <f t="shared" ref="AF11:AG11" si="16">44186591.91+8707329.7</f>
        <v>52893921.609999999</v>
      </c>
      <c r="AG11" s="67">
        <f t="shared" si="16"/>
        <v>52893921.609999999</v>
      </c>
      <c r="AH11" s="67">
        <f>73875531.7+6518913.23</f>
        <v>80394444.930000007</v>
      </c>
      <c r="AI11" s="73" t="s">
        <v>51</v>
      </c>
      <c r="AJ11" s="789">
        <f t="shared" ref="AJ11:AJ15" si="17">K11-X11</f>
        <v>-1786430.22</v>
      </c>
      <c r="AK11" s="75"/>
      <c r="AM11" s="75"/>
      <c r="AO11" s="635">
        <f t="shared" ref="AO11:AO15" si="18">Y11-W11</f>
        <v>85322410.390000001</v>
      </c>
    </row>
    <row r="12" spans="1:41" ht="36.6" customHeight="1" x14ac:dyDescent="0.25">
      <c r="A12" s="73" t="s">
        <v>56</v>
      </c>
      <c r="B12" s="67">
        <f>'прилож.3-школы'!$N$101+'прилож.3-школы'!$N$123+'прилож.3-школы'!N124</f>
        <v>28384640.469999999</v>
      </c>
      <c r="C12" s="67">
        <f>'прилож.3-школы'!$N$111</f>
        <v>32528209.850000001</v>
      </c>
      <c r="D12" s="67">
        <f>'прилож.3-школы'!$N$119</f>
        <v>6022529.7599999998</v>
      </c>
      <c r="E12" s="67">
        <f>'прилож.3-школы'!$N$122</f>
        <v>9128978.5600000005</v>
      </c>
      <c r="F12" s="67">
        <v>0</v>
      </c>
      <c r="G12" s="71">
        <f>SUM(B12:F12)</f>
        <v>76064358.640000001</v>
      </c>
      <c r="H12" s="69">
        <f>'прилож.3-школы'!$O$130-'прилож.4-школы'!I12-'прилож.4-школы'!L12</f>
        <v>35120014.640000001</v>
      </c>
      <c r="I12" s="69">
        <f t="shared" si="1"/>
        <v>9128978.5600000005</v>
      </c>
      <c r="J12" s="69">
        <f>'прилож.3-школы'!$P$130</f>
        <v>10720290.66</v>
      </c>
      <c r="K12" s="67">
        <f>'прилож.3-школы'!$R$130</f>
        <v>16173514.779999999</v>
      </c>
      <c r="L12" s="67">
        <f>'прилож.3-школы'!$O$127</f>
        <v>4921560</v>
      </c>
      <c r="M12" s="71">
        <f t="shared" si="6"/>
        <v>76064358.640000001</v>
      </c>
      <c r="N12" s="70"/>
      <c r="O12" s="67">
        <f t="shared" si="2"/>
        <v>1.1200000000000001</v>
      </c>
      <c r="P12" s="67">
        <f t="shared" si="7"/>
        <v>1.1100000000000001</v>
      </c>
      <c r="Q12" s="67">
        <f t="shared" si="3"/>
        <v>1.1000000000000001</v>
      </c>
      <c r="R12" s="68">
        <f>X12/K12</f>
        <v>0.8</v>
      </c>
      <c r="S12" s="68">
        <f t="shared" si="9"/>
        <v>1.03</v>
      </c>
      <c r="T12" s="819">
        <f>34987579+537930+2955859+845983</f>
        <v>39327351</v>
      </c>
      <c r="U12" s="818">
        <f>10048521+58329</f>
        <v>10106850</v>
      </c>
      <c r="V12" s="818">
        <f>11351838+307071+125357</f>
        <v>11784266</v>
      </c>
      <c r="W12" s="67">
        <f t="shared" si="4"/>
        <v>4921560</v>
      </c>
      <c r="X12" s="807">
        <f>11371049.33+1583534.14-852.9</f>
        <v>12953730.57</v>
      </c>
      <c r="Y12" s="71">
        <f t="shared" si="10"/>
        <v>79093757.569999993</v>
      </c>
      <c r="Z12" s="361">
        <f>B12*ROUND((Y12-U12)/(G12-E12),11)-0.01</f>
        <v>29254611.920000002</v>
      </c>
      <c r="AA12" s="361">
        <f t="shared" si="12"/>
        <v>33525179.120000001</v>
      </c>
      <c r="AB12" s="361">
        <f t="shared" si="13"/>
        <v>6207116.5300000003</v>
      </c>
      <c r="AC12" s="361">
        <f>U12</f>
        <v>10106850</v>
      </c>
      <c r="AD12" s="67">
        <f t="shared" si="15"/>
        <v>79093757.569999993</v>
      </c>
      <c r="AE12" s="67">
        <f>67045126.4+5575323.34</f>
        <v>72620449.739999995</v>
      </c>
      <c r="AF12" s="67">
        <f t="shared" ref="AF12:AG15" si="19">J12</f>
        <v>10720290.66</v>
      </c>
      <c r="AG12" s="67">
        <f t="shared" si="19"/>
        <v>16173514.779999999</v>
      </c>
      <c r="AH12" s="67">
        <f>67045126.4+5581973.33</f>
        <v>72627099.730000004</v>
      </c>
      <c r="AI12" s="73" t="s">
        <v>56</v>
      </c>
      <c r="AJ12" s="789">
        <f t="shared" si="17"/>
        <v>3219784.21</v>
      </c>
      <c r="AK12" s="75"/>
      <c r="AL12" s="75"/>
      <c r="AO12" s="635">
        <f t="shared" si="18"/>
        <v>74172197.569999993</v>
      </c>
    </row>
    <row r="13" spans="1:41" ht="36.6" customHeight="1" x14ac:dyDescent="0.25">
      <c r="A13" s="73" t="s">
        <v>109</v>
      </c>
      <c r="B13" s="67">
        <f>'прилож.3-школы'!$N$229+'прилож.3-школы'!$N$257+'прилож.3-школы'!N256</f>
        <v>16954797.170000002</v>
      </c>
      <c r="C13" s="67">
        <f>'прилож.3-школы'!$N$240</f>
        <v>18009896.91</v>
      </c>
      <c r="D13" s="67">
        <f>'прилож.3-школы'!$N$246</f>
        <v>4579877.68</v>
      </c>
      <c r="E13" s="67">
        <f>'прилож.3-школы'!$N$249</f>
        <v>2629309.2999999998</v>
      </c>
      <c r="F13" s="67">
        <v>0</v>
      </c>
      <c r="G13" s="71">
        <f t="shared" si="0"/>
        <v>42173881.060000002</v>
      </c>
      <c r="H13" s="69">
        <f>'прилож.3-школы'!$O$258-'прилож.4-школы'!I13-'прилож.4-школы'!L13</f>
        <v>19122676.890000001</v>
      </c>
      <c r="I13" s="69">
        <f t="shared" si="1"/>
        <v>2629309.2999999998</v>
      </c>
      <c r="J13" s="69">
        <f>'прилож.3-школы'!$P$258</f>
        <v>6805386.75</v>
      </c>
      <c r="K13" s="67">
        <f>'прилож.3-школы'!$R$258</f>
        <v>10569828.119999999</v>
      </c>
      <c r="L13" s="67">
        <f>'прилож.3-школы'!$O$254</f>
        <v>3046680</v>
      </c>
      <c r="M13" s="71">
        <f t="shared" si="6"/>
        <v>42173881.060000002</v>
      </c>
      <c r="N13" s="70"/>
      <c r="O13" s="67">
        <f t="shared" si="2"/>
        <v>1.1599999999999999</v>
      </c>
      <c r="P13" s="67">
        <f t="shared" si="7"/>
        <v>1.0900000000000001</v>
      </c>
      <c r="Q13" s="67">
        <f t="shared" si="3"/>
        <v>1.08</v>
      </c>
      <c r="R13" s="67">
        <f t="shared" si="8"/>
        <v>0.99</v>
      </c>
      <c r="S13" s="68">
        <f t="shared" si="9"/>
        <v>1.0900000000000001</v>
      </c>
      <c r="T13" s="819">
        <f>20753629+537930+683183+165871</f>
        <v>22140613</v>
      </c>
      <c r="U13" s="818">
        <f>2853750+5340+6493</f>
        <v>2865583</v>
      </c>
      <c r="V13" s="67">
        <f>7069203+294922</f>
        <v>7364125</v>
      </c>
      <c r="W13" s="67">
        <f t="shared" si="4"/>
        <v>3046680</v>
      </c>
      <c r="X13" s="807">
        <f>9132923+1278609+50000</f>
        <v>10461532</v>
      </c>
      <c r="Y13" s="71">
        <f>SUM(T13:X13)</f>
        <v>45878533</v>
      </c>
      <c r="Z13" s="361">
        <f>B13*ROUND((Y13-U13)/(G13-E13),11)</f>
        <v>18441869.780000001</v>
      </c>
      <c r="AA13" s="361">
        <f>C13*ROUND((Y13-U13)/(G13-E13),11)</f>
        <v>19589510.289999999</v>
      </c>
      <c r="AB13" s="361">
        <f t="shared" si="13"/>
        <v>4981569.93</v>
      </c>
      <c r="AC13" s="361">
        <f>U13</f>
        <v>2865583</v>
      </c>
      <c r="AD13" s="67">
        <f>SUM(Z13:AC13)</f>
        <v>45878533</v>
      </c>
      <c r="AE13" s="67">
        <f>39546616+3700443.34</f>
        <v>43247059.340000004</v>
      </c>
      <c r="AF13" s="67">
        <f t="shared" si="19"/>
        <v>6805386.75</v>
      </c>
      <c r="AG13" s="67">
        <f t="shared" si="19"/>
        <v>10569828.119999999</v>
      </c>
      <c r="AH13" s="67">
        <f>39546616+3707093.33</f>
        <v>43253709.329999998</v>
      </c>
      <c r="AI13" s="73" t="s">
        <v>109</v>
      </c>
      <c r="AJ13" s="789">
        <f t="shared" si="17"/>
        <v>108296.12</v>
      </c>
      <c r="AK13" s="75"/>
      <c r="AL13" s="75"/>
      <c r="AO13" s="635">
        <f t="shared" si="18"/>
        <v>42831853</v>
      </c>
    </row>
    <row r="14" spans="1:41" ht="36.6" customHeight="1" x14ac:dyDescent="0.25">
      <c r="A14" s="73" t="s">
        <v>110</v>
      </c>
      <c r="B14" s="67">
        <f>'прилож.3-школы'!$N$143+'прилож.3-школы'!$N$164+'прилож.3-школы'!$N$168</f>
        <v>30038076.780000001</v>
      </c>
      <c r="C14" s="67">
        <f>'прилож.3-школы'!$N$154</f>
        <v>32600026.039999999</v>
      </c>
      <c r="D14" s="67">
        <f>'прилож.3-школы'!$N$160</f>
        <v>5471054.4800000004</v>
      </c>
      <c r="E14" s="67">
        <f>'прилож.3-школы'!$N$163</f>
        <v>5951007.3600000003</v>
      </c>
      <c r="F14" s="67">
        <v>0</v>
      </c>
      <c r="G14" s="71">
        <f t="shared" si="0"/>
        <v>74060164.659999996</v>
      </c>
      <c r="H14" s="69">
        <f>'прилож.3-школы'!$O$172-'прилож.4-школы'!I14-'прилож.4-школы'!L14</f>
        <v>38594487.450000003</v>
      </c>
      <c r="I14" s="69">
        <f t="shared" si="1"/>
        <v>5951007.3600000003</v>
      </c>
      <c r="J14" s="69">
        <f>'прилож.3-школы'!$P$172</f>
        <v>9850891.9399999995</v>
      </c>
      <c r="K14" s="67">
        <f>'прилож.3-школы'!$R$172</f>
        <v>14976557.91</v>
      </c>
      <c r="L14" s="67">
        <f>'прилож.3-школы'!$O$169</f>
        <v>4687220</v>
      </c>
      <c r="M14" s="71">
        <f t="shared" si="6"/>
        <v>74060164.659999996</v>
      </c>
      <c r="N14" s="70"/>
      <c r="O14" s="67">
        <f t="shared" si="2"/>
        <v>1.1399999999999999</v>
      </c>
      <c r="P14" s="67">
        <f t="shared" si="7"/>
        <v>1.07</v>
      </c>
      <c r="Q14" s="67">
        <f t="shared" si="3"/>
        <v>1.1000000000000001</v>
      </c>
      <c r="R14" s="68">
        <f t="shared" si="8"/>
        <v>0.98</v>
      </c>
      <c r="S14" s="68">
        <f t="shared" si="9"/>
        <v>1.0900000000000001</v>
      </c>
      <c r="T14" s="819">
        <f>39548005+537930+2918654+1051897</f>
        <v>44056486</v>
      </c>
      <c r="U14" s="818">
        <f>5053272+597805+726817</f>
        <v>6377894</v>
      </c>
      <c r="V14" s="818">
        <f>10654648+57977+114918</f>
        <v>10827543</v>
      </c>
      <c r="W14" s="67">
        <f t="shared" si="4"/>
        <v>4687220</v>
      </c>
      <c r="X14" s="806">
        <f>11382791+3194829.5+135400</f>
        <v>14713020.5</v>
      </c>
      <c r="Y14" s="71">
        <f t="shared" si="10"/>
        <v>80662163.5</v>
      </c>
      <c r="Z14" s="361">
        <f t="shared" si="11"/>
        <v>32761477.010000002</v>
      </c>
      <c r="AA14" s="361">
        <f t="shared" si="12"/>
        <v>35555705.219999999</v>
      </c>
      <c r="AB14" s="361">
        <f t="shared" si="13"/>
        <v>5967087.2699999996</v>
      </c>
      <c r="AC14" s="361">
        <f t="shared" si="14"/>
        <v>6377894</v>
      </c>
      <c r="AD14" s="67">
        <f t="shared" si="15"/>
        <v>80662163.5</v>
      </c>
      <c r="AE14" s="67">
        <f>66498061+5837401.32</f>
        <v>72335462.319999993</v>
      </c>
      <c r="AF14" s="67">
        <f t="shared" si="19"/>
        <v>9850891.9399999995</v>
      </c>
      <c r="AG14" s="67">
        <f t="shared" si="19"/>
        <v>14976557.91</v>
      </c>
      <c r="AH14" s="67">
        <f>66498061+5844051.34</f>
        <v>72342112.340000004</v>
      </c>
      <c r="AI14" s="73" t="s">
        <v>110</v>
      </c>
      <c r="AJ14" s="789">
        <f t="shared" si="17"/>
        <v>263537.40999999997</v>
      </c>
      <c r="AK14" s="75"/>
      <c r="AL14" s="75"/>
      <c r="AO14" s="635">
        <f t="shared" si="18"/>
        <v>75974943.5</v>
      </c>
    </row>
    <row r="15" spans="1:41" ht="36.6" customHeight="1" x14ac:dyDescent="0.25">
      <c r="A15" s="73" t="s">
        <v>61</v>
      </c>
      <c r="B15" s="67">
        <f>'прилож.3-школы'!$N$185+'прилож.3-школы'!N210+'прилож.3-школы'!$N$211+'прилож.3-школы'!$N$212</f>
        <v>35238102.630000003</v>
      </c>
      <c r="C15" s="67">
        <f>'прилож.3-школы'!$N$197</f>
        <v>46484141.619999997</v>
      </c>
      <c r="D15" s="67">
        <f>'прилож.3-школы'!$N$205</f>
        <v>12342445.130000001</v>
      </c>
      <c r="E15" s="67">
        <f>'прилож.3-школы'!$N$209</f>
        <v>11558588.800000001</v>
      </c>
      <c r="F15" s="67">
        <v>0</v>
      </c>
      <c r="G15" s="71">
        <f t="shared" si="0"/>
        <v>105623278.18000001</v>
      </c>
      <c r="H15" s="69">
        <f>'прилож.3-школы'!$O$217-'прилож.4-школы'!I15-'прилож.4-школы'!L15</f>
        <v>49736386.560000002</v>
      </c>
      <c r="I15" s="69">
        <f t="shared" si="1"/>
        <v>11558588.800000001</v>
      </c>
      <c r="J15" s="69">
        <f>'прилож.3-школы'!$P$217</f>
        <v>14788067.41</v>
      </c>
      <c r="K15" s="67">
        <f>'прилож.3-школы'!$R$217</f>
        <v>22275075.41</v>
      </c>
      <c r="L15" s="67">
        <f>'прилож.3-школы'!$O$214</f>
        <v>7265160</v>
      </c>
      <c r="M15" s="71">
        <f>SUM(H15:L15)</f>
        <v>105623278.18000001</v>
      </c>
      <c r="N15" s="70"/>
      <c r="O15" s="67">
        <f t="shared" si="2"/>
        <v>1.1200000000000001</v>
      </c>
      <c r="P15" s="67">
        <f t="shared" si="7"/>
        <v>1.0900000000000001</v>
      </c>
      <c r="Q15" s="67">
        <f t="shared" si="3"/>
        <v>1.08</v>
      </c>
      <c r="R15" s="67">
        <f t="shared" si="8"/>
        <v>0.98</v>
      </c>
      <c r="S15" s="68">
        <f>(Y15-U15)/(G15-E15)</f>
        <v>1.07</v>
      </c>
      <c r="T15" s="819">
        <f>49816671+537950+4222462+1073439</f>
        <v>55650522</v>
      </c>
      <c r="U15" s="818">
        <f>11979103+259371+315346</f>
        <v>12553820</v>
      </c>
      <c r="V15" s="67">
        <f>14900330+999964</f>
        <v>15900294</v>
      </c>
      <c r="W15" s="67">
        <f t="shared" si="4"/>
        <v>7265160</v>
      </c>
      <c r="X15" s="807">
        <f>17805910+3980071.34</f>
        <v>21785981.34</v>
      </c>
      <c r="Y15" s="71">
        <f t="shared" si="10"/>
        <v>113155777.34</v>
      </c>
      <c r="Z15" s="361">
        <f>B15*ROUND((Y15-U15)/(G15-E15),11)-0.01</f>
        <v>37687065.359999999</v>
      </c>
      <c r="AA15" s="361">
        <f t="shared" si="12"/>
        <v>49714676.82</v>
      </c>
      <c r="AB15" s="361">
        <f t="shared" si="13"/>
        <v>13200215.16</v>
      </c>
      <c r="AC15" s="361">
        <f t="shared" si="14"/>
        <v>12553820</v>
      </c>
      <c r="AD15" s="67">
        <f t="shared" si="15"/>
        <v>113155777.34</v>
      </c>
      <c r="AE15" s="67">
        <f>93940768+7918943.32</f>
        <v>101859711.31999999</v>
      </c>
      <c r="AF15" s="67">
        <f t="shared" si="19"/>
        <v>14788067.41</v>
      </c>
      <c r="AG15" s="67">
        <f t="shared" si="19"/>
        <v>22275075.41</v>
      </c>
      <c r="AH15" s="67">
        <f>93940768+7925593.34</f>
        <v>101866361.34</v>
      </c>
      <c r="AI15" s="73" t="s">
        <v>61</v>
      </c>
      <c r="AJ15" s="789">
        <f t="shared" si="17"/>
        <v>489094.07</v>
      </c>
      <c r="AK15" s="75"/>
      <c r="AL15" s="75"/>
      <c r="AO15" s="635">
        <f t="shared" si="18"/>
        <v>105890617.34</v>
      </c>
    </row>
    <row r="16" spans="1:41" ht="36.6" customHeight="1" x14ac:dyDescent="0.25">
      <c r="A16" s="76" t="s">
        <v>111</v>
      </c>
      <c r="B16" s="71">
        <f t="shared" ref="B16:K16" si="20">SUM(B10:B15)</f>
        <v>183331859.28</v>
      </c>
      <c r="C16" s="71">
        <f t="shared" si="20"/>
        <v>209884708.11000001</v>
      </c>
      <c r="D16" s="71">
        <f>SUM(D10:D15)</f>
        <v>42356266.659999996</v>
      </c>
      <c r="E16" s="71">
        <f t="shared" si="20"/>
        <v>44352995.700000003</v>
      </c>
      <c r="F16" s="71">
        <f t="shared" si="20"/>
        <v>0</v>
      </c>
      <c r="G16" s="71">
        <f t="shared" si="0"/>
        <v>479925829.75</v>
      </c>
      <c r="H16" s="74">
        <f>SUM(H10:H15)</f>
        <v>235108400.63</v>
      </c>
      <c r="I16" s="74">
        <f>SUM(I10:I15)</f>
        <v>44352995.700000003</v>
      </c>
      <c r="J16" s="74">
        <f>SUM(J10:J15)</f>
        <v>67751945.980000004</v>
      </c>
      <c r="K16" s="71">
        <f t="shared" si="20"/>
        <v>100370787.44</v>
      </c>
      <c r="L16" s="71">
        <f>SUM(L10:L15)</f>
        <v>32341700</v>
      </c>
      <c r="M16" s="71">
        <f t="shared" si="6"/>
        <v>479925829.75</v>
      </c>
      <c r="N16" s="70">
        <f>SUM(N10:N15)</f>
        <v>0</v>
      </c>
      <c r="O16" s="67">
        <f t="shared" si="2"/>
        <v>1.1299999999999999</v>
      </c>
      <c r="P16" s="67">
        <f t="shared" si="7"/>
        <v>1.0900000000000001</v>
      </c>
      <c r="Q16" s="67">
        <f t="shared" si="3"/>
        <v>1.1000000000000001</v>
      </c>
      <c r="R16" s="68">
        <f t="shared" si="8"/>
        <v>0.98</v>
      </c>
      <c r="S16" s="68">
        <f>(Y16-U16)/(G16-E16)</f>
        <v>1.08</v>
      </c>
      <c r="T16" s="71">
        <f>SUM(T10:T15)</f>
        <v>264605900</v>
      </c>
      <c r="U16" s="71">
        <f>SUM(U10:U15)</f>
        <v>48214100</v>
      </c>
      <c r="V16" s="71">
        <f>SUM(V10:V15)</f>
        <v>74587527</v>
      </c>
      <c r="W16" s="71">
        <f>SUM(W10:W15)</f>
        <v>32341700</v>
      </c>
      <c r="X16" s="808">
        <f>SUM(X10:X15)</f>
        <v>98337775.390000001</v>
      </c>
      <c r="Y16" s="71">
        <f>SUM(T16:X16)</f>
        <v>518087002.38999999</v>
      </c>
      <c r="Z16" s="362">
        <f>SUM(Z10:Z15)</f>
        <v>197851382.80000001</v>
      </c>
      <c r="AA16" s="362">
        <f>SUM(AA10:AA15)</f>
        <v>226470275.62</v>
      </c>
      <c r="AB16" s="362">
        <f>SUM(AB10:AB15)</f>
        <v>45551243.969999999</v>
      </c>
      <c r="AC16" s="362">
        <f>SUM(AC10:AC15)</f>
        <v>48214100</v>
      </c>
      <c r="AD16" s="71">
        <f>SUM(Z16:AC16)</f>
        <v>518087002.38999999</v>
      </c>
      <c r="AE16" s="71">
        <f>SUM(AE10:AE15)</f>
        <v>467116916</v>
      </c>
      <c r="AF16" s="71">
        <f t="shared" ref="AF16:AG16" si="21">SUM(AF10:AF15)</f>
        <v>265824110.96000001</v>
      </c>
      <c r="AG16" s="71">
        <f t="shared" si="21"/>
        <v>222981102.74000001</v>
      </c>
      <c r="AH16" s="71">
        <f>SUM(AH10:AH15)</f>
        <v>466922416</v>
      </c>
      <c r="AI16" s="73" t="s">
        <v>111</v>
      </c>
      <c r="AJ16" s="782">
        <f>SUM(AJ10:AJ15)</f>
        <v>2033012.05</v>
      </c>
      <c r="AK16" s="651" t="s">
        <v>440</v>
      </c>
      <c r="AO16" s="75">
        <f>SUM(AO10:AO15)</f>
        <v>485745302.38999999</v>
      </c>
    </row>
    <row r="17" spans="1:34" ht="36.6" customHeight="1" x14ac:dyDescent="0.25">
      <c r="G17" s="80"/>
      <c r="Y17" s="770"/>
      <c r="Z17" s="816"/>
      <c r="AA17" s="49"/>
      <c r="AB17" s="49"/>
      <c r="AC17" s="49"/>
    </row>
    <row r="18" spans="1:34" ht="36.6" customHeight="1" x14ac:dyDescent="0.25">
      <c r="A18" s="48" t="s">
        <v>78</v>
      </c>
      <c r="H18" s="75"/>
      <c r="I18" s="75"/>
      <c r="J18" s="75"/>
      <c r="T18" s="75"/>
      <c r="X18" s="769"/>
      <c r="Y18" s="75"/>
      <c r="AH18" s="75"/>
    </row>
    <row r="19" spans="1:34" x14ac:dyDescent="0.25">
      <c r="G19" s="77"/>
      <c r="H19" s="75"/>
      <c r="M19" s="75"/>
    </row>
    <row r="20" spans="1:34" ht="20.399999999999999" hidden="1" customHeight="1" x14ac:dyDescent="0.25">
      <c r="B20" s="75"/>
      <c r="C20" s="75"/>
      <c r="D20" s="75"/>
      <c r="R20" s="49">
        <v>1.03</v>
      </c>
      <c r="T20" s="48" t="s">
        <v>290</v>
      </c>
      <c r="Y20" s="78"/>
    </row>
    <row r="21" spans="1:34" x14ac:dyDescent="0.25">
      <c r="B21" s="75"/>
      <c r="G21" s="75"/>
    </row>
    <row r="22" spans="1:34" x14ac:dyDescent="0.25">
      <c r="H22" s="75"/>
    </row>
  </sheetData>
  <mergeCells count="11">
    <mergeCell ref="X2:Y2"/>
    <mergeCell ref="X3:Y3"/>
    <mergeCell ref="Z7:AC7"/>
    <mergeCell ref="T7:Y7"/>
    <mergeCell ref="B9:E9"/>
    <mergeCell ref="A5:L5"/>
    <mergeCell ref="A7:A8"/>
    <mergeCell ref="G7:G8"/>
    <mergeCell ref="O7:R7"/>
    <mergeCell ref="B7:E7"/>
    <mergeCell ref="H7:L7"/>
  </mergeCells>
  <pageMargins left="0" right="0" top="0.74803149606299213" bottom="0.74803149606299213" header="0.31496062992125984" footer="0.31496062992125984"/>
  <pageSetup paperSize="9" scale="5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ST213"/>
  <sheetViews>
    <sheetView zoomScale="70" zoomScaleNormal="70" workbookViewId="0">
      <selection activeCell="J134" sqref="J134"/>
    </sheetView>
  </sheetViews>
  <sheetFormatPr defaultColWidth="9.109375" defaultRowHeight="13.8" x14ac:dyDescent="0.25"/>
  <cols>
    <col min="1" max="1" width="28.5546875" style="83" customWidth="1"/>
    <col min="2" max="2" width="22.6640625" style="83" customWidth="1"/>
    <col min="3" max="3" width="23.6640625" style="83" customWidth="1"/>
    <col min="4" max="4" width="7.88671875" style="84" customWidth="1"/>
    <col min="5" max="5" width="10.6640625" style="84" hidden="1" customWidth="1"/>
    <col min="6" max="6" width="11" style="83" hidden="1" customWidth="1"/>
    <col min="7" max="7" width="8.6640625" style="83" customWidth="1"/>
    <col min="8" max="8" width="9.33203125" style="84" customWidth="1"/>
    <col min="9" max="9" width="8.5546875" style="84" customWidth="1"/>
    <col min="10" max="10" width="18.33203125" style="83" customWidth="1"/>
    <col min="11" max="11" width="13.109375" style="84" customWidth="1"/>
    <col min="12" max="12" width="13.88671875" style="83" customWidth="1"/>
    <col min="13" max="13" width="13.33203125" style="84" customWidth="1"/>
    <col min="14" max="14" width="15.109375" style="84" customWidth="1"/>
    <col min="15" max="15" width="16" style="84" customWidth="1"/>
    <col min="16" max="16" width="14.33203125" style="84" hidden="1" customWidth="1"/>
    <col min="17" max="17" width="15.109375" style="83" customWidth="1"/>
    <col min="18" max="18" width="0.44140625" style="83" hidden="1" customWidth="1"/>
    <col min="19" max="19" width="14.33203125" style="83" customWidth="1"/>
    <col min="20" max="20" width="16.5546875" style="84" customWidth="1"/>
    <col min="21" max="21" width="14.44140625" style="84" customWidth="1"/>
    <col min="22" max="22" width="15.33203125" style="84" customWidth="1"/>
    <col min="23" max="23" width="15.33203125" style="83" hidden="1" customWidth="1"/>
    <col min="24" max="24" width="17.5546875" style="83" hidden="1" customWidth="1"/>
    <col min="25" max="25" width="18.6640625" style="83" hidden="1" customWidth="1"/>
    <col min="26" max="26" width="9.109375" style="83" hidden="1" customWidth="1"/>
    <col min="27" max="27" width="16.5546875" style="83" hidden="1" customWidth="1"/>
    <col min="28" max="28" width="17.109375" style="83" hidden="1" customWidth="1"/>
    <col min="29" max="29" width="15.6640625" style="83" hidden="1" customWidth="1"/>
    <col min="30" max="30" width="9.109375" style="83" hidden="1" customWidth="1"/>
    <col min="31" max="31" width="13.5546875" style="83" hidden="1" customWidth="1"/>
    <col min="32" max="32" width="13.33203125" style="83" hidden="1" customWidth="1"/>
    <col min="33" max="33" width="13.88671875" style="83" hidden="1" customWidth="1"/>
    <col min="34" max="34" width="14.88671875" style="83" customWidth="1"/>
    <col min="35" max="16384" width="9.109375" style="83"/>
  </cols>
  <sheetData>
    <row r="1" spans="1:29" ht="16.2" customHeight="1" x14ac:dyDescent="0.25">
      <c r="D1" s="83"/>
      <c r="E1" s="83"/>
      <c r="H1" s="83"/>
      <c r="I1" s="83"/>
      <c r="K1" s="83"/>
      <c r="M1" s="83"/>
      <c r="N1" s="83"/>
      <c r="O1" s="83"/>
      <c r="P1" s="83"/>
      <c r="T1" s="85"/>
      <c r="U1" s="83"/>
      <c r="V1" s="83"/>
    </row>
    <row r="2" spans="1:29" ht="21" customHeight="1" x14ac:dyDescent="0.25">
      <c r="D2" s="83"/>
      <c r="E2" s="83"/>
      <c r="H2" s="83"/>
      <c r="I2" s="83"/>
      <c r="K2" s="83"/>
      <c r="M2" s="83"/>
      <c r="N2" s="83"/>
      <c r="O2" s="83"/>
      <c r="P2" s="83"/>
      <c r="T2" s="85" t="s">
        <v>0</v>
      </c>
      <c r="U2" s="83"/>
      <c r="V2" s="83"/>
    </row>
    <row r="3" spans="1:29" ht="21" customHeight="1" x14ac:dyDescent="0.25">
      <c r="D3" s="83"/>
      <c r="E3" s="83"/>
      <c r="H3" s="83"/>
      <c r="I3" s="83"/>
      <c r="K3" s="83"/>
      <c r="M3" s="83"/>
      <c r="N3" s="83"/>
      <c r="O3" s="83"/>
      <c r="P3" s="83"/>
      <c r="T3" s="85" t="s">
        <v>655</v>
      </c>
      <c r="U3" s="83"/>
      <c r="V3" s="83"/>
    </row>
    <row r="4" spans="1:29" ht="21" customHeight="1" x14ac:dyDescent="0.25">
      <c r="D4" s="83"/>
      <c r="E4" s="83"/>
      <c r="H4" s="83"/>
      <c r="I4" s="83"/>
      <c r="K4" s="83"/>
      <c r="M4" s="83"/>
      <c r="N4" s="83"/>
      <c r="O4" s="83"/>
      <c r="P4" s="83"/>
      <c r="T4" s="85"/>
      <c r="U4" s="83"/>
      <c r="V4" s="83"/>
    </row>
    <row r="5" spans="1:29" ht="21" customHeight="1" x14ac:dyDescent="0.25">
      <c r="A5" s="880" t="s">
        <v>563</v>
      </c>
      <c r="B5" s="880"/>
      <c r="C5" s="880"/>
      <c r="D5" s="880"/>
      <c r="E5" s="880"/>
      <c r="F5" s="880"/>
      <c r="G5" s="880"/>
      <c r="H5" s="880"/>
      <c r="I5" s="880"/>
      <c r="J5" s="880"/>
      <c r="K5" s="880"/>
      <c r="L5" s="880"/>
      <c r="M5" s="880"/>
      <c r="N5" s="880"/>
      <c r="O5" s="880"/>
      <c r="P5" s="880"/>
      <c r="Q5" s="880"/>
      <c r="R5" s="880"/>
      <c r="S5" s="880"/>
      <c r="T5" s="880"/>
      <c r="U5" s="880"/>
      <c r="V5" s="880"/>
    </row>
    <row r="6" spans="1:29" ht="21" hidden="1" customHeight="1" x14ac:dyDescent="0.25">
      <c r="A6" s="369"/>
      <c r="B6" s="369"/>
      <c r="C6" s="369"/>
      <c r="D6" s="369"/>
      <c r="E6" s="369"/>
      <c r="F6" s="369"/>
      <c r="G6" s="369"/>
      <c r="H6" s="369"/>
      <c r="I6" s="369"/>
      <c r="J6" s="369"/>
      <c r="K6" s="369"/>
      <c r="L6" s="369"/>
      <c r="M6" s="369"/>
      <c r="N6" s="369"/>
      <c r="O6" s="369"/>
      <c r="P6" s="369"/>
      <c r="Q6" s="369"/>
      <c r="R6" s="369"/>
      <c r="S6" s="369"/>
      <c r="T6" s="369"/>
      <c r="U6" s="369"/>
      <c r="V6" s="369"/>
    </row>
    <row r="7" spans="1:29" ht="21" customHeight="1" x14ac:dyDescent="0.25">
      <c r="A7" s="86" t="s">
        <v>291</v>
      </c>
      <c r="D7" s="83"/>
      <c r="E7" s="83"/>
      <c r="H7" s="83"/>
      <c r="I7" s="83"/>
      <c r="K7" s="83"/>
      <c r="M7" s="83"/>
      <c r="N7" s="83"/>
      <c r="O7" s="83"/>
      <c r="P7" s="83"/>
      <c r="T7" s="83"/>
      <c r="U7" s="83"/>
      <c r="V7" s="83"/>
    </row>
    <row r="8" spans="1:29" ht="21" customHeight="1" x14ac:dyDescent="0.25">
      <c r="D8" s="83"/>
      <c r="E8" s="83"/>
      <c r="H8" s="83"/>
      <c r="I8" s="83"/>
      <c r="K8" s="83"/>
      <c r="M8" s="83"/>
      <c r="N8" s="83"/>
      <c r="O8" s="83"/>
      <c r="P8" s="83"/>
      <c r="T8" s="83"/>
      <c r="U8" s="83"/>
      <c r="V8" s="83"/>
    </row>
    <row r="9" spans="1:29" ht="51.6" customHeight="1" x14ac:dyDescent="0.25">
      <c r="A9" s="87" t="s">
        <v>2</v>
      </c>
      <c r="B9" s="87" t="s">
        <v>116</v>
      </c>
      <c r="C9" s="87" t="s">
        <v>117</v>
      </c>
      <c r="D9" s="603" t="s">
        <v>5</v>
      </c>
      <c r="E9" s="886" t="s">
        <v>6</v>
      </c>
      <c r="F9" s="887"/>
      <c r="G9" s="887"/>
      <c r="H9" s="887"/>
      <c r="I9" s="888"/>
      <c r="J9" s="889" t="s">
        <v>7</v>
      </c>
      <c r="K9" s="890"/>
      <c r="L9" s="890"/>
      <c r="M9" s="891"/>
      <c r="N9" s="886" t="s">
        <v>8</v>
      </c>
      <c r="O9" s="887"/>
      <c r="P9" s="887"/>
      <c r="Q9" s="887"/>
      <c r="R9" s="887"/>
      <c r="S9" s="887"/>
      <c r="T9" s="887"/>
      <c r="U9" s="887"/>
      <c r="V9" s="888"/>
    </row>
    <row r="10" spans="1:29" ht="84.6" customHeight="1" x14ac:dyDescent="0.25">
      <c r="A10" s="88"/>
      <c r="B10" s="88"/>
      <c r="C10" s="88"/>
      <c r="D10" s="89"/>
      <c r="E10" s="90" t="s">
        <v>470</v>
      </c>
      <c r="F10" s="678" t="s">
        <v>528</v>
      </c>
      <c r="G10" s="91" t="s">
        <v>649</v>
      </c>
      <c r="H10" s="629" t="s">
        <v>434</v>
      </c>
      <c r="I10" s="629" t="s">
        <v>557</v>
      </c>
      <c r="J10" s="92" t="s">
        <v>514</v>
      </c>
      <c r="K10" s="602" t="s">
        <v>432</v>
      </c>
      <c r="L10" s="92" t="s">
        <v>118</v>
      </c>
      <c r="M10" s="629" t="s">
        <v>119</v>
      </c>
      <c r="N10" s="892" t="s">
        <v>329</v>
      </c>
      <c r="O10" s="893"/>
      <c r="P10" s="893"/>
      <c r="Q10" s="893"/>
      <c r="R10" s="893"/>
      <c r="S10" s="893"/>
      <c r="T10" s="894"/>
      <c r="U10" s="629" t="s">
        <v>434</v>
      </c>
      <c r="V10" s="629" t="s">
        <v>557</v>
      </c>
      <c r="AA10" s="83">
        <v>21722659.059999999</v>
      </c>
      <c r="AB10" s="93">
        <f>AA10+U23</f>
        <v>23439424.18</v>
      </c>
    </row>
    <row r="11" spans="1:29" ht="97.2" customHeight="1" x14ac:dyDescent="0.25">
      <c r="A11" s="92" t="s">
        <v>18</v>
      </c>
      <c r="B11" s="92" t="s">
        <v>120</v>
      </c>
      <c r="C11" s="94"/>
      <c r="D11" s="370" t="s">
        <v>19</v>
      </c>
      <c r="E11" s="370" t="s">
        <v>20</v>
      </c>
      <c r="F11" s="371" t="s">
        <v>20</v>
      </c>
      <c r="G11" s="371" t="s">
        <v>20</v>
      </c>
      <c r="H11" s="370" t="s">
        <v>20</v>
      </c>
      <c r="I11" s="370" t="s">
        <v>20</v>
      </c>
      <c r="J11" s="92" t="s">
        <v>21</v>
      </c>
      <c r="K11" s="90" t="s">
        <v>21</v>
      </c>
      <c r="L11" s="92" t="s">
        <v>21</v>
      </c>
      <c r="M11" s="90" t="s">
        <v>21</v>
      </c>
      <c r="N11" s="90" t="s">
        <v>515</v>
      </c>
      <c r="O11" s="90" t="s">
        <v>121</v>
      </c>
      <c r="P11" s="628" t="s">
        <v>122</v>
      </c>
      <c r="Q11" s="87" t="s">
        <v>123</v>
      </c>
      <c r="R11" s="87" t="s">
        <v>124</v>
      </c>
      <c r="S11" s="87" t="s">
        <v>125</v>
      </c>
      <c r="T11" s="95" t="s">
        <v>119</v>
      </c>
      <c r="U11" s="90" t="s">
        <v>21</v>
      </c>
      <c r="V11" s="90" t="s">
        <v>21</v>
      </c>
      <c r="W11" s="93"/>
      <c r="AA11" s="93">
        <f>U12-AB10</f>
        <v>18663745.48</v>
      </c>
    </row>
    <row r="12" spans="1:29" ht="28.95" customHeight="1" x14ac:dyDescent="0.25">
      <c r="A12" s="96" t="s">
        <v>126</v>
      </c>
      <c r="B12" s="97"/>
      <c r="C12" s="97"/>
      <c r="D12" s="629"/>
      <c r="E12" s="98"/>
      <c r="F12" s="99"/>
      <c r="G12" s="99"/>
      <c r="H12" s="98"/>
      <c r="I12" s="98"/>
      <c r="J12" s="99"/>
      <c r="K12" s="98"/>
      <c r="L12" s="99"/>
      <c r="M12" s="100"/>
      <c r="N12" s="107">
        <f>N13+N25</f>
        <v>12518155.85</v>
      </c>
      <c r="O12" s="101">
        <f t="shared" ref="O12:R12" si="0">O13</f>
        <v>5627658.1200000001</v>
      </c>
      <c r="P12" s="101">
        <f t="shared" si="0"/>
        <v>0</v>
      </c>
      <c r="Q12" s="804">
        <f>Q13+Q22</f>
        <v>22736812.77</v>
      </c>
      <c r="R12" s="101">
        <f t="shared" si="0"/>
        <v>0</v>
      </c>
      <c r="S12" s="101">
        <f>S23</f>
        <v>1757640.48</v>
      </c>
      <c r="T12" s="107">
        <f>T13+T22+T23+T25</f>
        <v>42640267.219999999</v>
      </c>
      <c r="U12" s="107">
        <f>U13+U22+U23+U25</f>
        <v>42103169.659999996</v>
      </c>
      <c r="V12" s="101">
        <f>V13+V22+V23+V25</f>
        <v>41807920.090000004</v>
      </c>
      <c r="W12" s="93">
        <v>9687443.9800000004</v>
      </c>
      <c r="X12" s="93">
        <f>W12-Q12</f>
        <v>-13049368.789999999</v>
      </c>
      <c r="Y12" s="83">
        <f>X12/144</f>
        <v>-90620.616597222193</v>
      </c>
      <c r="AA12" s="83">
        <v>8719839.9800000004</v>
      </c>
      <c r="AB12" s="93">
        <f>AA12-Q12</f>
        <v>-14016972.789999999</v>
      </c>
      <c r="AC12" s="103">
        <f>AB12/I23</f>
        <v>-166868.72369000001</v>
      </c>
    </row>
    <row r="13" spans="1:29" ht="73.95" customHeight="1" x14ac:dyDescent="0.25">
      <c r="A13" s="92" t="s">
        <v>127</v>
      </c>
      <c r="B13" s="87" t="s">
        <v>128</v>
      </c>
      <c r="C13" s="87"/>
      <c r="D13" s="629"/>
      <c r="E13" s="98"/>
      <c r="F13" s="99"/>
      <c r="G13" s="99"/>
      <c r="H13" s="98"/>
      <c r="I13" s="98"/>
      <c r="J13" s="99"/>
      <c r="K13" s="98"/>
      <c r="L13" s="99"/>
      <c r="M13" s="98"/>
      <c r="N13" s="98">
        <f>N14+N15+N16+N17+N18+N19+N20+N21</f>
        <v>12255446.65</v>
      </c>
      <c r="O13" s="98">
        <f>O14+O15+O17+O18+O21+O20+O16+O19</f>
        <v>5627658.1200000001</v>
      </c>
      <c r="P13" s="98">
        <f t="shared" ref="P13:S13" si="1">P14+P15+P17+P18+P21+P20+P16</f>
        <v>0</v>
      </c>
      <c r="Q13" s="813">
        <f>Q14+Q15+Q17+Q18+Q21+Q20+Q16+Q19-1+0.47</f>
        <v>9969310.3900000006</v>
      </c>
      <c r="R13" s="98">
        <f t="shared" si="1"/>
        <v>0</v>
      </c>
      <c r="S13" s="98">
        <f t="shared" si="1"/>
        <v>0</v>
      </c>
      <c r="T13" s="102">
        <f>T14+T15+T17+T18+T21+T20+T16+T19-1+0.47</f>
        <v>27852415.16</v>
      </c>
      <c r="U13" s="98">
        <f t="shared" ref="U13:V13" si="2">U14+U15+U17+U18+U21+U20+U16+U19</f>
        <v>27620571.25</v>
      </c>
      <c r="V13" s="98">
        <f t="shared" si="2"/>
        <v>27620571.25</v>
      </c>
      <c r="W13" s="93">
        <v>21722659.059999999</v>
      </c>
      <c r="X13" s="93"/>
    </row>
    <row r="14" spans="1:29" ht="76.2" customHeight="1" x14ac:dyDescent="0.25">
      <c r="A14" s="92"/>
      <c r="B14" s="97" t="s">
        <v>441</v>
      </c>
      <c r="C14" s="872" t="s">
        <v>292</v>
      </c>
      <c r="D14" s="629" t="s">
        <v>130</v>
      </c>
      <c r="E14" s="104">
        <v>12</v>
      </c>
      <c r="F14" s="579">
        <v>15</v>
      </c>
      <c r="G14" s="113">
        <f>18</f>
        <v>18</v>
      </c>
      <c r="H14" s="104">
        <f>16+1</f>
        <v>17</v>
      </c>
      <c r="I14" s="104">
        <f>16+1</f>
        <v>17</v>
      </c>
      <c r="J14" s="99">
        <v>96720.13</v>
      </c>
      <c r="K14" s="98">
        <f>53973.17+18883.56</f>
        <v>72856.73</v>
      </c>
      <c r="L14" s="101">
        <f>115922.22</f>
        <v>115922.22</v>
      </c>
      <c r="M14" s="98">
        <f>J14+K14+L14</f>
        <v>285499.08</v>
      </c>
      <c r="N14" s="98">
        <f>G14*J14</f>
        <v>1740962.34</v>
      </c>
      <c r="O14" s="98">
        <f>G14*K14</f>
        <v>1311421.1399999999</v>
      </c>
      <c r="P14" s="98"/>
      <c r="Q14" s="99">
        <f>G14*L14</f>
        <v>2086599.96</v>
      </c>
      <c r="R14" s="99"/>
      <c r="S14" s="99">
        <v>0</v>
      </c>
      <c r="T14" s="98">
        <f>SUM(N14:Q14)</f>
        <v>5138983.4400000004</v>
      </c>
      <c r="U14" s="98">
        <f>(N14+O14)+(H14*L14)</f>
        <v>5023061.22</v>
      </c>
      <c r="V14" s="98">
        <f>U14</f>
        <v>5023061.22</v>
      </c>
      <c r="X14" s="93">
        <f>W13-U12</f>
        <v>-20380510.600000001</v>
      </c>
    </row>
    <row r="15" spans="1:29" ht="27.6" customHeight="1" x14ac:dyDescent="0.25">
      <c r="A15" s="97"/>
      <c r="B15" s="97" t="s">
        <v>330</v>
      </c>
      <c r="C15" s="884"/>
      <c r="D15" s="629" t="s">
        <v>130</v>
      </c>
      <c r="E15" s="104">
        <v>4</v>
      </c>
      <c r="F15" s="579">
        <v>1</v>
      </c>
      <c r="G15" s="104">
        <v>3</v>
      </c>
      <c r="H15" s="104">
        <v>3</v>
      </c>
      <c r="I15" s="104">
        <v>3</v>
      </c>
      <c r="J15" s="99">
        <v>96720.13</v>
      </c>
      <c r="K15" s="98">
        <f>53973.17+18883.56</f>
        <v>72856.73</v>
      </c>
      <c r="L15" s="101">
        <f t="shared" ref="L15:L21" si="3">115922.22</f>
        <v>115922.22</v>
      </c>
      <c r="M15" s="98">
        <f>J15+K15+L15</f>
        <v>285499.08</v>
      </c>
      <c r="N15" s="98">
        <f t="shared" ref="N15:N22" si="4">G15*J15</f>
        <v>290160.39</v>
      </c>
      <c r="O15" s="98">
        <f>G15*K15</f>
        <v>218570.19</v>
      </c>
      <c r="P15" s="98"/>
      <c r="Q15" s="99">
        <f>G15*L15</f>
        <v>347766.66</v>
      </c>
      <c r="R15" s="99"/>
      <c r="S15" s="99">
        <v>0</v>
      </c>
      <c r="T15" s="98">
        <f t="shared" ref="T15:T21" si="5">SUM(N15:Q15)</f>
        <v>856497.24</v>
      </c>
      <c r="U15" s="98">
        <f t="shared" ref="U15:V21" si="6">T15</f>
        <v>856497.24</v>
      </c>
      <c r="V15" s="98">
        <f t="shared" si="6"/>
        <v>856497.24</v>
      </c>
      <c r="X15" s="93"/>
    </row>
    <row r="16" spans="1:29" ht="27.6" customHeight="1" x14ac:dyDescent="0.25">
      <c r="A16" s="97"/>
      <c r="B16" s="97" t="s">
        <v>330</v>
      </c>
      <c r="C16" s="881" t="s">
        <v>442</v>
      </c>
      <c r="D16" s="629" t="s">
        <v>130</v>
      </c>
      <c r="E16" s="104">
        <v>50</v>
      </c>
      <c r="F16" s="579">
        <v>54</v>
      </c>
      <c r="G16" s="104">
        <v>47</v>
      </c>
      <c r="H16" s="104">
        <v>46</v>
      </c>
      <c r="I16" s="104">
        <v>46</v>
      </c>
      <c r="J16" s="99">
        <v>148485.44</v>
      </c>
      <c r="K16" s="98">
        <f>40509.87+18883.56</f>
        <v>59393.43</v>
      </c>
      <c r="L16" s="101">
        <f t="shared" si="3"/>
        <v>115922.22</v>
      </c>
      <c r="M16" s="98">
        <f>J16+K16+L16</f>
        <v>323801.09000000003</v>
      </c>
      <c r="N16" s="98">
        <f>G16*J16</f>
        <v>6978815.6799999997</v>
      </c>
      <c r="O16" s="98">
        <f>(G16)*K16-79452.93</f>
        <v>2712038.28</v>
      </c>
      <c r="P16" s="98"/>
      <c r="Q16" s="99">
        <f>G16*L16</f>
        <v>5448344.3399999999</v>
      </c>
      <c r="R16" s="99"/>
      <c r="S16" s="99">
        <v>0</v>
      </c>
      <c r="T16" s="98">
        <f t="shared" ref="T16" si="7">SUM(N16:Q16)</f>
        <v>15139198.300000001</v>
      </c>
      <c r="U16" s="98">
        <f>(N16+O16)+(H16*L16)</f>
        <v>15023276.08</v>
      </c>
      <c r="V16" s="98">
        <f>(N16+O16)+(I16*L16)</f>
        <v>15023276.08</v>
      </c>
      <c r="X16" s="93"/>
    </row>
    <row r="17" spans="1:52" ht="32.4" customHeight="1" x14ac:dyDescent="0.25">
      <c r="A17" s="92"/>
      <c r="B17" s="371" t="s">
        <v>331</v>
      </c>
      <c r="C17" s="882"/>
      <c r="D17" s="629" t="s">
        <v>130</v>
      </c>
      <c r="E17" s="104">
        <v>2</v>
      </c>
      <c r="F17" s="673">
        <v>2</v>
      </c>
      <c r="G17" s="104">
        <v>5</v>
      </c>
      <c r="H17" s="104">
        <v>5</v>
      </c>
      <c r="I17" s="104">
        <v>5</v>
      </c>
      <c r="J17" s="99">
        <v>148485.44</v>
      </c>
      <c r="K17" s="98">
        <f>40509.87+18883.56</f>
        <v>59393.43</v>
      </c>
      <c r="L17" s="101">
        <f t="shared" si="3"/>
        <v>115922.22</v>
      </c>
      <c r="M17" s="98">
        <f t="shared" ref="M17:M95" si="8">J17+K17+L17</f>
        <v>323801.09000000003</v>
      </c>
      <c r="N17" s="98">
        <f t="shared" si="4"/>
        <v>742427.2</v>
      </c>
      <c r="O17" s="98">
        <f t="shared" ref="O17:O21" si="9">G17*K17</f>
        <v>296967.15000000002</v>
      </c>
      <c r="P17" s="98"/>
      <c r="Q17" s="99">
        <f t="shared" ref="Q17:Q21" si="10">G17*L17</f>
        <v>579611.1</v>
      </c>
      <c r="R17" s="99"/>
      <c r="S17" s="99">
        <v>0</v>
      </c>
      <c r="T17" s="98">
        <f t="shared" si="5"/>
        <v>1619005.45</v>
      </c>
      <c r="U17" s="98">
        <f t="shared" si="6"/>
        <v>1619005.45</v>
      </c>
      <c r="V17" s="98">
        <f t="shared" si="6"/>
        <v>1619005.45</v>
      </c>
      <c r="X17" s="93"/>
    </row>
    <row r="18" spans="1:52" ht="27" customHeight="1" x14ac:dyDescent="0.25">
      <c r="A18" s="97"/>
      <c r="B18" s="97" t="s">
        <v>330</v>
      </c>
      <c r="C18" s="882"/>
      <c r="D18" s="629" t="s">
        <v>130</v>
      </c>
      <c r="E18" s="104">
        <v>10</v>
      </c>
      <c r="F18" s="579">
        <v>1</v>
      </c>
      <c r="G18" s="104">
        <f>7-7</f>
        <v>0</v>
      </c>
      <c r="H18" s="104">
        <f>7-7</f>
        <v>0</v>
      </c>
      <c r="I18" s="104">
        <f>7-7</f>
        <v>0</v>
      </c>
      <c r="J18" s="99">
        <v>196216.3</v>
      </c>
      <c r="K18" s="758">
        <f t="shared" ref="K18:K20" si="11">53973.17+18883.56*1.5</f>
        <v>82298.509999999995</v>
      </c>
      <c r="L18" s="101">
        <f t="shared" si="3"/>
        <v>115922.22</v>
      </c>
      <c r="M18" s="98">
        <f t="shared" si="8"/>
        <v>394437.03</v>
      </c>
      <c r="N18" s="98">
        <f t="shared" si="4"/>
        <v>0</v>
      </c>
      <c r="O18" s="98">
        <f>G18*K18</f>
        <v>0</v>
      </c>
      <c r="P18" s="98"/>
      <c r="Q18" s="99">
        <f t="shared" si="10"/>
        <v>0</v>
      </c>
      <c r="R18" s="99"/>
      <c r="S18" s="99">
        <v>0</v>
      </c>
      <c r="T18" s="98">
        <f t="shared" ref="T18" si="12">SUM(N18:Q18)</f>
        <v>0</v>
      </c>
      <c r="U18" s="98">
        <f t="shared" si="6"/>
        <v>0</v>
      </c>
      <c r="V18" s="98">
        <f t="shared" si="6"/>
        <v>0</v>
      </c>
      <c r="X18" s="93"/>
    </row>
    <row r="19" spans="1:52" ht="27" customHeight="1" x14ac:dyDescent="0.25">
      <c r="A19" s="97"/>
      <c r="B19" s="97" t="s">
        <v>330</v>
      </c>
      <c r="C19" s="882"/>
      <c r="D19" s="629" t="s">
        <v>130</v>
      </c>
      <c r="E19" s="104"/>
      <c r="F19" s="579"/>
      <c r="G19" s="104">
        <f>1+11</f>
        <v>12</v>
      </c>
      <c r="H19" s="104">
        <f>1+11</f>
        <v>12</v>
      </c>
      <c r="I19" s="104">
        <f>1+11</f>
        <v>12</v>
      </c>
      <c r="J19" s="99">
        <v>196216.3</v>
      </c>
      <c r="K19" s="758">
        <f t="shared" si="11"/>
        <v>82298.509999999995</v>
      </c>
      <c r="L19" s="101">
        <f t="shared" si="3"/>
        <v>115922.22</v>
      </c>
      <c r="M19" s="98">
        <f t="shared" ref="M19" si="13">J19+K19+L19</f>
        <v>394437.03</v>
      </c>
      <c r="N19" s="98">
        <f t="shared" ref="N19" si="14">G19*J19</f>
        <v>2354595.6</v>
      </c>
      <c r="O19" s="98">
        <f>G19*K19</f>
        <v>987582.12</v>
      </c>
      <c r="P19" s="98"/>
      <c r="Q19" s="99">
        <f t="shared" ref="Q19" si="15">G19*L19</f>
        <v>1391066.64</v>
      </c>
      <c r="R19" s="99"/>
      <c r="S19" s="99">
        <v>0</v>
      </c>
      <c r="T19" s="98">
        <f t="shared" ref="T19" si="16">SUM(N19:Q19)</f>
        <v>4733244.3600000003</v>
      </c>
      <c r="U19" s="98">
        <f t="shared" ref="U19" si="17">T19</f>
        <v>4733244.3600000003</v>
      </c>
      <c r="V19" s="98">
        <f t="shared" ref="V19" si="18">U19</f>
        <v>4733244.3600000003</v>
      </c>
      <c r="X19" s="93"/>
    </row>
    <row r="20" spans="1:52" ht="28.2" customHeight="1" x14ac:dyDescent="0.25">
      <c r="A20" s="92"/>
      <c r="B20" s="97" t="s">
        <v>331</v>
      </c>
      <c r="C20" s="882"/>
      <c r="D20" s="629" t="s">
        <v>130</v>
      </c>
      <c r="E20" s="104">
        <v>2</v>
      </c>
      <c r="F20" s="579">
        <v>4</v>
      </c>
      <c r="G20" s="104">
        <f>3-3</f>
        <v>0</v>
      </c>
      <c r="H20" s="104">
        <f>3-3</f>
        <v>0</v>
      </c>
      <c r="I20" s="104">
        <f>3-3</f>
        <v>0</v>
      </c>
      <c r="J20" s="99">
        <v>196216.3</v>
      </c>
      <c r="K20" s="758">
        <f t="shared" si="11"/>
        <v>82298.509999999995</v>
      </c>
      <c r="L20" s="101">
        <f t="shared" si="3"/>
        <v>115922.22</v>
      </c>
      <c r="M20" s="98">
        <f t="shared" si="8"/>
        <v>394437.03</v>
      </c>
      <c r="N20" s="98">
        <f t="shared" si="4"/>
        <v>0</v>
      </c>
      <c r="O20" s="98">
        <f>G20*K20+5945.875+35739.93</f>
        <v>41685.81</v>
      </c>
      <c r="P20" s="98"/>
      <c r="Q20" s="99">
        <f t="shared" si="10"/>
        <v>0</v>
      </c>
      <c r="R20" s="99"/>
      <c r="S20" s="99">
        <v>0</v>
      </c>
      <c r="T20" s="98">
        <f t="shared" ref="T20" si="19">SUM(N20:Q20)</f>
        <v>41685.81</v>
      </c>
      <c r="U20" s="98">
        <f t="shared" si="6"/>
        <v>41685.81</v>
      </c>
      <c r="V20" s="98">
        <f t="shared" si="6"/>
        <v>41685.81</v>
      </c>
      <c r="X20" s="93"/>
    </row>
    <row r="21" spans="1:52" ht="28.2" customHeight="1" x14ac:dyDescent="0.25">
      <c r="A21" s="480" t="s">
        <v>510</v>
      </c>
      <c r="B21" s="97" t="s">
        <v>330</v>
      </c>
      <c r="C21" s="883"/>
      <c r="D21" s="629" t="s">
        <v>130</v>
      </c>
      <c r="E21" s="104">
        <v>1</v>
      </c>
      <c r="F21" s="579">
        <v>7</v>
      </c>
      <c r="G21" s="113">
        <v>1</v>
      </c>
      <c r="H21" s="104">
        <v>1</v>
      </c>
      <c r="I21" s="104">
        <v>1</v>
      </c>
      <c r="J21" s="99">
        <v>148485.44</v>
      </c>
      <c r="K21" s="758">
        <f>40509.87+18883.56</f>
        <v>59393.43</v>
      </c>
      <c r="L21" s="101">
        <f t="shared" si="3"/>
        <v>115922.22</v>
      </c>
      <c r="M21" s="98">
        <f t="shared" si="8"/>
        <v>323801.09000000003</v>
      </c>
      <c r="N21" s="98">
        <f t="shared" si="4"/>
        <v>148485.44</v>
      </c>
      <c r="O21" s="98">
        <f t="shared" si="9"/>
        <v>59393.43</v>
      </c>
      <c r="P21" s="98"/>
      <c r="Q21" s="99">
        <f t="shared" si="10"/>
        <v>115922.22</v>
      </c>
      <c r="R21" s="99"/>
      <c r="S21" s="99">
        <v>0</v>
      </c>
      <c r="T21" s="98">
        <f t="shared" si="5"/>
        <v>323801.09000000003</v>
      </c>
      <c r="U21" s="98">
        <f t="shared" si="6"/>
        <v>323801.09000000003</v>
      </c>
      <c r="V21" s="98">
        <f t="shared" si="6"/>
        <v>323801.09000000003</v>
      </c>
      <c r="X21" s="93"/>
    </row>
    <row r="22" spans="1:52" s="110" customFormat="1" ht="64.2" customHeight="1" x14ac:dyDescent="0.25">
      <c r="A22" s="90" t="s">
        <v>132</v>
      </c>
      <c r="B22" s="629" t="s">
        <v>133</v>
      </c>
      <c r="C22" s="629" t="s">
        <v>54</v>
      </c>
      <c r="D22" s="629"/>
      <c r="E22" s="109">
        <f>E14+E15+E17+E18+E21+E20+E16</f>
        <v>81</v>
      </c>
      <c r="F22" s="676">
        <f>F14+F15+F17+F18+F21+F20+F16</f>
        <v>84</v>
      </c>
      <c r="G22" s="112">
        <f>G14+G15+G17+G18+G21+G20+G16+G19</f>
        <v>86</v>
      </c>
      <c r="H22" s="112">
        <f t="shared" ref="H22:I22" si="20">H14+H15+H17+H18+H21+H20+H16+H19</f>
        <v>84</v>
      </c>
      <c r="I22" s="112">
        <f t="shared" si="20"/>
        <v>84</v>
      </c>
      <c r="J22" s="109">
        <v>0</v>
      </c>
      <c r="K22" s="109">
        <v>0</v>
      </c>
      <c r="L22" s="102">
        <f>234381.55-115922.22+30000</f>
        <v>148459.32999999999</v>
      </c>
      <c r="M22" s="98">
        <f t="shared" si="8"/>
        <v>148459.32999999999</v>
      </c>
      <c r="N22" s="98">
        <f t="shared" si="4"/>
        <v>0</v>
      </c>
      <c r="O22" s="98">
        <f>G22*K22</f>
        <v>0</v>
      </c>
      <c r="P22" s="109">
        <f t="shared" ref="P22:S22" si="21">P14+P15+P17+P18+P21</f>
        <v>0</v>
      </c>
      <c r="Q22" s="813">
        <f>G22*L22</f>
        <v>12767502.380000001</v>
      </c>
      <c r="R22" s="109">
        <f t="shared" si="21"/>
        <v>0</v>
      </c>
      <c r="S22" s="117">
        <f t="shared" si="21"/>
        <v>0</v>
      </c>
      <c r="T22" s="102">
        <f>SUM(N22:Q22)</f>
        <v>12767502.380000001</v>
      </c>
      <c r="U22" s="98">
        <f>H22*L22</f>
        <v>12470583.720000001</v>
      </c>
      <c r="V22" s="98">
        <f>I22*L22</f>
        <v>12470583.720000001</v>
      </c>
      <c r="W22" s="341" t="e">
        <f>W14+W15+W17+W18+W21+#REF!</f>
        <v>#REF!</v>
      </c>
      <c r="X22" s="341" t="e">
        <f>X14+X15+X17+X18+X21+#REF!</f>
        <v>#REF!</v>
      </c>
      <c r="Y22" s="341" t="e">
        <f>Y14+Y15+Y17+Y18+Y21+#REF!</f>
        <v>#REF!</v>
      </c>
      <c r="Z22" s="341" t="e">
        <f>Z14+Z15+Z17+Z18+Z21+#REF!</f>
        <v>#REF!</v>
      </c>
      <c r="AA22" s="341" t="e">
        <f>AA14+AA15+AA17+AA18+AA21+#REF!</f>
        <v>#REF!</v>
      </c>
      <c r="AB22" s="341" t="e">
        <f>AB14+AB15+AB17+AB18+AB21+#REF!</f>
        <v>#REF!</v>
      </c>
      <c r="AC22" s="341" t="e">
        <f>AC14+AC15+AC17+AC18+AC21+#REF!</f>
        <v>#REF!</v>
      </c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</row>
    <row r="23" spans="1:52" s="84" customFormat="1" ht="25.95" customHeight="1" x14ac:dyDescent="0.25">
      <c r="A23" s="629"/>
      <c r="B23" s="629" t="s">
        <v>133</v>
      </c>
      <c r="C23" s="629" t="s">
        <v>134</v>
      </c>
      <c r="D23" s="629"/>
      <c r="E23" s="109"/>
      <c r="F23" s="104"/>
      <c r="G23" s="113">
        <f>G22</f>
        <v>86</v>
      </c>
      <c r="H23" s="112">
        <f>H22</f>
        <v>84</v>
      </c>
      <c r="I23" s="112">
        <f>I22</f>
        <v>84</v>
      </c>
      <c r="J23" s="99">
        <v>0</v>
      </c>
      <c r="K23" s="98">
        <v>0</v>
      </c>
      <c r="L23" s="101">
        <v>20437.68</v>
      </c>
      <c r="M23" s="98">
        <f>J23+K23+L23</f>
        <v>20437.68</v>
      </c>
      <c r="N23" s="109"/>
      <c r="O23" s="98"/>
      <c r="P23" s="98"/>
      <c r="Q23" s="99"/>
      <c r="R23" s="99"/>
      <c r="S23" s="811">
        <f>G23*L23</f>
        <v>1757640.48</v>
      </c>
      <c r="T23" s="102">
        <f>S23</f>
        <v>1757640.48</v>
      </c>
      <c r="U23" s="98">
        <f>H23*L23</f>
        <v>1716765.12</v>
      </c>
      <c r="V23" s="98">
        <f>I23*L23</f>
        <v>1716765.12</v>
      </c>
      <c r="AD23" s="83"/>
      <c r="AE23" s="83"/>
      <c r="AF23" s="83"/>
    </row>
    <row r="24" spans="1:52" ht="30.6" customHeight="1" x14ac:dyDescent="0.25">
      <c r="A24" s="895" t="s">
        <v>644</v>
      </c>
      <c r="B24" s="897" t="s">
        <v>512</v>
      </c>
      <c r="C24" s="661"/>
      <c r="D24" s="734" t="s">
        <v>24</v>
      </c>
      <c r="E24" s="735"/>
      <c r="F24" s="735">
        <v>24</v>
      </c>
      <c r="G24" s="744">
        <v>24</v>
      </c>
      <c r="H24" s="744">
        <v>24</v>
      </c>
      <c r="I24" s="735">
        <v>0</v>
      </c>
      <c r="J24" s="738">
        <v>0</v>
      </c>
      <c r="K24" s="738"/>
      <c r="L24" s="739"/>
      <c r="M24" s="738">
        <f>J24+K24+L24</f>
        <v>0</v>
      </c>
      <c r="N24" s="738">
        <f>G24*J24</f>
        <v>0</v>
      </c>
      <c r="O24" s="738"/>
      <c r="P24" s="735"/>
      <c r="Q24" s="738"/>
      <c r="R24" s="738"/>
      <c r="S24" s="740"/>
      <c r="T24" s="738">
        <f>SUM(N24:Q24)</f>
        <v>0</v>
      </c>
      <c r="U24" s="740"/>
      <c r="V24" s="740"/>
    </row>
    <row r="25" spans="1:52" ht="30.6" customHeight="1" x14ac:dyDescent="0.25">
      <c r="A25" s="896"/>
      <c r="B25" s="898"/>
      <c r="C25" s="662" t="s">
        <v>636</v>
      </c>
      <c r="D25" s="741" t="s">
        <v>232</v>
      </c>
      <c r="E25" s="735">
        <v>0</v>
      </c>
      <c r="F25" s="735">
        <f>26*F24</f>
        <v>624</v>
      </c>
      <c r="G25" s="736">
        <f>16*2*G24</f>
        <v>768</v>
      </c>
      <c r="H25" s="736">
        <f>18*2*H24</f>
        <v>864</v>
      </c>
      <c r="I25" s="735">
        <v>0</v>
      </c>
      <c r="J25" s="737">
        <v>341.25</v>
      </c>
      <c r="K25" s="738"/>
      <c r="L25" s="739"/>
      <c r="M25" s="738">
        <f>J25+K25+L25</f>
        <v>341.25</v>
      </c>
      <c r="N25" s="737">
        <f>G25*J25+629.2</f>
        <v>262709.2</v>
      </c>
      <c r="O25" s="738"/>
      <c r="P25" s="735"/>
      <c r="Q25" s="738"/>
      <c r="R25" s="738"/>
      <c r="S25" s="740"/>
      <c r="T25" s="737">
        <f>SUM(N25:Q25)</f>
        <v>262709.2</v>
      </c>
      <c r="U25" s="737">
        <f>H25*J25+409.57</f>
        <v>295249.57</v>
      </c>
      <c r="V25" s="738">
        <f>I25*J25</f>
        <v>0</v>
      </c>
    </row>
    <row r="26" spans="1:52" ht="24.6" customHeight="1" x14ac:dyDescent="0.25">
      <c r="A26" s="97"/>
      <c r="B26" s="97"/>
      <c r="C26" s="420" t="s">
        <v>38</v>
      </c>
      <c r="D26" s="629"/>
      <c r="E26" s="109"/>
      <c r="F26" s="104">
        <v>24</v>
      </c>
      <c r="G26" s="108">
        <f>G24</f>
        <v>24</v>
      </c>
      <c r="H26" s="108">
        <f>H24</f>
        <v>24</v>
      </c>
      <c r="I26" s="104">
        <f>I24</f>
        <v>0</v>
      </c>
      <c r="J26" s="99" t="s">
        <v>26</v>
      </c>
      <c r="K26" s="98" t="s">
        <v>26</v>
      </c>
      <c r="L26" s="101" t="s">
        <v>26</v>
      </c>
      <c r="M26" s="98"/>
      <c r="N26" s="109"/>
      <c r="O26" s="98"/>
      <c r="P26" s="109"/>
      <c r="Q26" s="99"/>
      <c r="R26" s="99"/>
      <c r="S26" s="105"/>
      <c r="T26" s="106"/>
      <c r="U26" s="106"/>
      <c r="V26" s="106"/>
    </row>
    <row r="27" spans="1:52" ht="21" customHeight="1" x14ac:dyDescent="0.25">
      <c r="A27" s="96" t="s">
        <v>135</v>
      </c>
      <c r="B27" s="97"/>
      <c r="C27" s="97"/>
      <c r="D27" s="111"/>
      <c r="E27" s="112"/>
      <c r="F27" s="113"/>
      <c r="G27" s="113"/>
      <c r="H27" s="112"/>
      <c r="I27" s="112"/>
      <c r="J27" s="101"/>
      <c r="K27" s="98"/>
      <c r="L27" s="114"/>
      <c r="M27" s="98">
        <f t="shared" si="8"/>
        <v>0</v>
      </c>
      <c r="N27" s="101">
        <f>N28</f>
        <v>16219182.59</v>
      </c>
      <c r="O27" s="101">
        <f>O28</f>
        <v>6517631.7199999997</v>
      </c>
      <c r="P27" s="113">
        <f>P28</f>
        <v>0</v>
      </c>
      <c r="Q27" s="804">
        <f>(Q28+Q40)</f>
        <v>10576009.66</v>
      </c>
      <c r="R27" s="101">
        <f>R28</f>
        <v>0</v>
      </c>
      <c r="S27" s="101">
        <f>S41</f>
        <v>1614576.72</v>
      </c>
      <c r="T27" s="101">
        <f>T28+T40+T41</f>
        <v>34412090.890000001</v>
      </c>
      <c r="U27" s="101">
        <f>U28+U40+U41</f>
        <v>35337958.210000001</v>
      </c>
      <c r="V27" s="101">
        <f>V28+V40+V41</f>
        <v>35337958.210000001</v>
      </c>
      <c r="W27" s="83">
        <v>6438122.5499999998</v>
      </c>
      <c r="X27" s="93">
        <f>W27-Q27</f>
        <v>-4137887.11</v>
      </c>
      <c r="Y27" s="83">
        <f>X27/108</f>
        <v>-38313.769537036998</v>
      </c>
      <c r="AA27" s="83">
        <v>6003686.5499999998</v>
      </c>
      <c r="AB27" s="93">
        <f>AA27-Q27</f>
        <v>-4572323.1100000003</v>
      </c>
      <c r="AC27" s="83">
        <f>AB27/I40</f>
        <v>-53792.0365882353</v>
      </c>
    </row>
    <row r="28" spans="1:52" ht="69" x14ac:dyDescent="0.25">
      <c r="A28" s="92" t="s">
        <v>127</v>
      </c>
      <c r="B28" s="87" t="s">
        <v>128</v>
      </c>
      <c r="C28" s="87"/>
      <c r="D28" s="629"/>
      <c r="E28" s="109"/>
      <c r="F28" s="104"/>
      <c r="G28" s="104"/>
      <c r="H28" s="109"/>
      <c r="I28" s="109"/>
      <c r="J28" s="99"/>
      <c r="K28" s="98"/>
      <c r="L28" s="99"/>
      <c r="M28" s="98"/>
      <c r="N28" s="98">
        <f>SUM(N30:N39)</f>
        <v>16219182.59</v>
      </c>
      <c r="O28" s="98">
        <f>SUM(O29:P39)</f>
        <v>6517631.7199999997</v>
      </c>
      <c r="P28" s="98">
        <f t="shared" ref="P28:V28" si="22">SUM(P30:P39)</f>
        <v>0</v>
      </c>
      <c r="Q28" s="102">
        <f>SUM(Q30:Q39)</f>
        <v>5716635.9199999999</v>
      </c>
      <c r="R28" s="98">
        <f t="shared" si="22"/>
        <v>0</v>
      </c>
      <c r="S28" s="98">
        <f t="shared" si="22"/>
        <v>0</v>
      </c>
      <c r="T28" s="102">
        <f t="shared" si="22"/>
        <v>27938140.43</v>
      </c>
      <c r="U28" s="98">
        <f>SUM(U30:U39)</f>
        <v>28372315.309999999</v>
      </c>
      <c r="V28" s="98">
        <f t="shared" si="22"/>
        <v>28372315.309999999</v>
      </c>
      <c r="W28" s="93">
        <v>18835786.280000001</v>
      </c>
      <c r="Y28" s="93"/>
      <c r="AA28" s="93"/>
      <c r="AE28" s="93">
        <v>9163178.5700000003</v>
      </c>
      <c r="AF28" s="93">
        <v>9360490.3800000008</v>
      </c>
      <c r="AG28" s="637">
        <f>AE28/AF28</f>
        <v>0.97892078299999996</v>
      </c>
    </row>
    <row r="29" spans="1:52" ht="29.4" customHeight="1" x14ac:dyDescent="0.25">
      <c r="A29" s="87" t="s">
        <v>474</v>
      </c>
      <c r="B29" s="87" t="s">
        <v>157</v>
      </c>
      <c r="C29" s="815"/>
      <c r="D29" s="629" t="s">
        <v>130</v>
      </c>
      <c r="E29" s="109"/>
      <c r="F29" s="104"/>
      <c r="G29" s="104">
        <v>2</v>
      </c>
      <c r="H29" s="109">
        <v>1</v>
      </c>
      <c r="I29" s="109">
        <v>1</v>
      </c>
      <c r="J29" s="99">
        <v>0</v>
      </c>
      <c r="K29" s="98">
        <v>257654.9</v>
      </c>
      <c r="L29" s="99">
        <v>0</v>
      </c>
      <c r="M29" s="98">
        <f>J29+K29+L29</f>
        <v>257654.9</v>
      </c>
      <c r="N29" s="98">
        <v>0</v>
      </c>
      <c r="O29" s="98">
        <f>K29*G29</f>
        <v>515309.8</v>
      </c>
      <c r="P29" s="98"/>
      <c r="Q29" s="102">
        <v>0</v>
      </c>
      <c r="R29" s="98"/>
      <c r="S29" s="98">
        <v>0</v>
      </c>
      <c r="T29" s="102">
        <v>0</v>
      </c>
      <c r="U29" s="98">
        <v>0</v>
      </c>
      <c r="V29" s="98">
        <v>0</v>
      </c>
      <c r="W29" s="93"/>
      <c r="Y29" s="93"/>
      <c r="AA29" s="93"/>
      <c r="AE29" s="93"/>
      <c r="AF29" s="93"/>
      <c r="AG29" s="637"/>
    </row>
    <row r="30" spans="1:52" ht="40.200000000000003" customHeight="1" x14ac:dyDescent="0.25">
      <c r="A30" s="92"/>
      <c r="B30" s="97" t="s">
        <v>129</v>
      </c>
      <c r="C30" s="872" t="s">
        <v>464</v>
      </c>
      <c r="D30" s="629" t="s">
        <v>130</v>
      </c>
      <c r="E30" s="104">
        <v>0</v>
      </c>
      <c r="F30" s="579">
        <v>12</v>
      </c>
      <c r="G30" s="104">
        <v>0</v>
      </c>
      <c r="H30" s="104">
        <v>0</v>
      </c>
      <c r="I30" s="104">
        <v>0</v>
      </c>
      <c r="J30" s="99">
        <v>86493.99</v>
      </c>
      <c r="K30" s="98">
        <f>46867.01+13060.92</f>
        <v>59927.93</v>
      </c>
      <c r="L30" s="101">
        <v>72362.48</v>
      </c>
      <c r="M30" s="98">
        <f t="shared" si="8"/>
        <v>218784.4</v>
      </c>
      <c r="N30" s="98">
        <f>G30*J30</f>
        <v>0</v>
      </c>
      <c r="O30" s="98">
        <f>G30*K30</f>
        <v>0</v>
      </c>
      <c r="P30" s="109"/>
      <c r="Q30" s="99">
        <f t="shared" ref="Q30:Q39" si="23">G30*L30</f>
        <v>0</v>
      </c>
      <c r="R30" s="99"/>
      <c r="S30" s="99"/>
      <c r="T30" s="98">
        <f t="shared" ref="T30:T37" si="24">SUM(N30:Q30)</f>
        <v>0</v>
      </c>
      <c r="U30" s="98">
        <f>T30</f>
        <v>0</v>
      </c>
      <c r="V30" s="98">
        <f>U30</f>
        <v>0</v>
      </c>
      <c r="X30" s="93">
        <f>W28-U27</f>
        <v>-16502171.93</v>
      </c>
      <c r="AE30" s="93"/>
      <c r="AF30" s="93">
        <f>AF28*AG28</f>
        <v>9163178.5700000003</v>
      </c>
      <c r="AG30" s="93"/>
    </row>
    <row r="31" spans="1:52" ht="63" customHeight="1" x14ac:dyDescent="0.25">
      <c r="A31" s="92"/>
      <c r="B31" s="97" t="s">
        <v>330</v>
      </c>
      <c r="C31" s="884"/>
      <c r="D31" s="629" t="s">
        <v>130</v>
      </c>
      <c r="E31" s="104">
        <v>0</v>
      </c>
      <c r="F31" s="579">
        <v>1</v>
      </c>
      <c r="G31" s="104">
        <v>0</v>
      </c>
      <c r="H31" s="104">
        <v>0</v>
      </c>
      <c r="I31" s="104">
        <v>0</v>
      </c>
      <c r="J31" s="99">
        <v>86493.99</v>
      </c>
      <c r="K31" s="98">
        <f>46867.01+13060.92</f>
        <v>59927.93</v>
      </c>
      <c r="L31" s="101">
        <v>72362.48</v>
      </c>
      <c r="M31" s="98">
        <f t="shared" si="8"/>
        <v>218784.4</v>
      </c>
      <c r="N31" s="98">
        <f t="shared" ref="N31:N39" si="25">G31*J31</f>
        <v>0</v>
      </c>
      <c r="O31" s="98">
        <f t="shared" ref="O31:O39" si="26">G31*K31</f>
        <v>0</v>
      </c>
      <c r="P31" s="109"/>
      <c r="Q31" s="99">
        <f t="shared" si="23"/>
        <v>0</v>
      </c>
      <c r="R31" s="99"/>
      <c r="S31" s="99"/>
      <c r="T31" s="98">
        <f t="shared" si="24"/>
        <v>0</v>
      </c>
      <c r="U31" s="98">
        <v>0</v>
      </c>
      <c r="V31" s="98">
        <f>U31</f>
        <v>0</v>
      </c>
      <c r="AE31" s="93"/>
      <c r="AF31" s="93"/>
      <c r="AG31" s="93"/>
    </row>
    <row r="32" spans="1:52" ht="74.400000000000006" customHeight="1" x14ac:dyDescent="0.25">
      <c r="A32" s="92"/>
      <c r="B32" s="97" t="s">
        <v>330</v>
      </c>
      <c r="C32" s="872" t="s">
        <v>293</v>
      </c>
      <c r="D32" s="629" t="s">
        <v>130</v>
      </c>
      <c r="E32" s="104">
        <v>0</v>
      </c>
      <c r="F32" s="104">
        <v>0</v>
      </c>
      <c r="G32" s="104">
        <f t="shared" ref="G32" si="27">((E32*8)+(F32*4))/12</f>
        <v>0</v>
      </c>
      <c r="H32" s="104">
        <f>7-7</f>
        <v>0</v>
      </c>
      <c r="I32" s="104">
        <f>7-7</f>
        <v>0</v>
      </c>
      <c r="J32" s="99">
        <v>245948.56</v>
      </c>
      <c r="K32" s="98">
        <f>70240.51+13060.92*2</f>
        <v>96362.35</v>
      </c>
      <c r="L32" s="101">
        <v>72362.48</v>
      </c>
      <c r="M32" s="98">
        <f t="shared" si="8"/>
        <v>414673.39</v>
      </c>
      <c r="N32" s="98">
        <f t="shared" si="25"/>
        <v>0</v>
      </c>
      <c r="O32" s="98">
        <f t="shared" si="26"/>
        <v>0</v>
      </c>
      <c r="P32" s="109"/>
      <c r="Q32" s="99">
        <f t="shared" si="23"/>
        <v>0</v>
      </c>
      <c r="R32" s="99"/>
      <c r="S32" s="99"/>
      <c r="T32" s="98">
        <f t="shared" si="24"/>
        <v>0</v>
      </c>
      <c r="U32" s="98">
        <f>T32</f>
        <v>0</v>
      </c>
      <c r="V32" s="98">
        <f>U32</f>
        <v>0</v>
      </c>
      <c r="AE32" s="93"/>
      <c r="AF32" s="93"/>
      <c r="AG32" s="93"/>
    </row>
    <row r="33" spans="1:33" ht="31.2" customHeight="1" x14ac:dyDescent="0.25">
      <c r="A33" s="92"/>
      <c r="B33" s="97" t="s">
        <v>332</v>
      </c>
      <c r="C33" s="885"/>
      <c r="D33" s="629" t="s">
        <v>130</v>
      </c>
      <c r="E33" s="104">
        <v>43</v>
      </c>
      <c r="F33" s="579">
        <v>42</v>
      </c>
      <c r="G33" s="104">
        <v>45</v>
      </c>
      <c r="H33" s="104">
        <f>42+3</f>
        <v>45</v>
      </c>
      <c r="I33" s="104">
        <f>42+3</f>
        <v>45</v>
      </c>
      <c r="J33" s="99">
        <v>245948.56</v>
      </c>
      <c r="K33" s="98">
        <f>64533.72+13925.43*2</f>
        <v>92384.58</v>
      </c>
      <c r="L33" s="811">
        <v>72362.48</v>
      </c>
      <c r="M33" s="98">
        <f t="shared" si="8"/>
        <v>410695.62</v>
      </c>
      <c r="N33" s="98">
        <f>G33*J33</f>
        <v>11067685.199999999</v>
      </c>
      <c r="O33" s="98">
        <f>G33*K33+6962.71</f>
        <v>4164268.81</v>
      </c>
      <c r="P33" s="109"/>
      <c r="Q33" s="99">
        <f t="shared" si="23"/>
        <v>3256311.6</v>
      </c>
      <c r="R33" s="99"/>
      <c r="S33" s="99"/>
      <c r="T33" s="98">
        <f t="shared" si="24"/>
        <v>18488265.609999999</v>
      </c>
      <c r="U33" s="98">
        <f>(N33+O33)+(H33*L33)</f>
        <v>18488265.609999999</v>
      </c>
      <c r="V33" s="98">
        <f>(N33+O33)+(I33*L33)</f>
        <v>18488265.609999999</v>
      </c>
      <c r="AE33" s="93"/>
      <c r="AF33" s="93"/>
      <c r="AG33" s="93"/>
    </row>
    <row r="34" spans="1:33" ht="31.2" customHeight="1" x14ac:dyDescent="0.25">
      <c r="A34" s="480" t="s">
        <v>510</v>
      </c>
      <c r="B34" s="97" t="s">
        <v>332</v>
      </c>
      <c r="C34" s="872" t="s">
        <v>465</v>
      </c>
      <c r="D34" s="629" t="s">
        <v>130</v>
      </c>
      <c r="E34" s="104">
        <v>1</v>
      </c>
      <c r="F34" s="579">
        <f>1</f>
        <v>1</v>
      </c>
      <c r="G34" s="113">
        <v>1</v>
      </c>
      <c r="H34" s="104">
        <f>1-1</f>
        <v>0</v>
      </c>
      <c r="I34" s="104">
        <f>1-1</f>
        <v>0</v>
      </c>
      <c r="J34" s="99">
        <v>132713.06</v>
      </c>
      <c r="K34" s="98">
        <f>32326.86+13925.43</f>
        <v>46252.29</v>
      </c>
      <c r="L34" s="101">
        <v>72362.48</v>
      </c>
      <c r="M34" s="98">
        <f t="shared" si="8"/>
        <v>251327.83</v>
      </c>
      <c r="N34" s="98">
        <f t="shared" si="25"/>
        <v>132713.06</v>
      </c>
      <c r="O34" s="98">
        <f>G34*K34</f>
        <v>46252.29</v>
      </c>
      <c r="P34" s="109"/>
      <c r="Q34" s="99">
        <f t="shared" si="23"/>
        <v>72362.48</v>
      </c>
      <c r="R34" s="99"/>
      <c r="S34" s="99"/>
      <c r="T34" s="98">
        <f t="shared" si="24"/>
        <v>251327.83</v>
      </c>
      <c r="U34" s="98">
        <f>(N34+O34)+(H34*L34)</f>
        <v>178965.35</v>
      </c>
      <c r="V34" s="98">
        <f>(N34+O34)+(I34*L34)</f>
        <v>178965.35</v>
      </c>
      <c r="AE34" s="93"/>
      <c r="AF34" s="93"/>
      <c r="AG34" s="93"/>
    </row>
    <row r="35" spans="1:33" ht="30" customHeight="1" x14ac:dyDescent="0.25">
      <c r="A35" s="92"/>
      <c r="B35" s="97" t="s">
        <v>328</v>
      </c>
      <c r="C35" s="903"/>
      <c r="D35" s="629" t="s">
        <v>130</v>
      </c>
      <c r="E35" s="104">
        <v>1</v>
      </c>
      <c r="F35" s="579">
        <v>1</v>
      </c>
      <c r="G35" s="104">
        <v>2</v>
      </c>
      <c r="H35" s="104">
        <v>0</v>
      </c>
      <c r="I35" s="104">
        <f>1-1</f>
        <v>0</v>
      </c>
      <c r="J35" s="99">
        <v>132713.06</v>
      </c>
      <c r="K35" s="98">
        <f>32326.86+13925.43</f>
        <v>46252.29</v>
      </c>
      <c r="L35" s="101">
        <v>72362.48</v>
      </c>
      <c r="M35" s="98">
        <f t="shared" ref="M35" si="28">J35+K35+L35</f>
        <v>251327.83</v>
      </c>
      <c r="N35" s="98">
        <f t="shared" ref="N35" si="29">G35*J35</f>
        <v>265426.12</v>
      </c>
      <c r="O35" s="98">
        <f>G35*K35</f>
        <v>92504.58</v>
      </c>
      <c r="P35" s="109"/>
      <c r="Q35" s="99">
        <f t="shared" ref="Q35" si="30">G35*L35</f>
        <v>144724.96</v>
      </c>
      <c r="R35" s="99"/>
      <c r="S35" s="99"/>
      <c r="T35" s="98">
        <f t="shared" ref="T35" si="31">SUM(N35:Q35)</f>
        <v>502655.66</v>
      </c>
      <c r="U35" s="98">
        <f>(N35+O35)+(H35*L35)</f>
        <v>357930.7</v>
      </c>
      <c r="V35" s="98">
        <f>(N35+O35)+(I35*L35)</f>
        <v>357930.7</v>
      </c>
      <c r="AE35" s="93"/>
      <c r="AF35" s="93"/>
      <c r="AG35" s="93"/>
    </row>
    <row r="36" spans="1:33" ht="35.4" customHeight="1" x14ac:dyDescent="0.25">
      <c r="A36" s="92"/>
      <c r="B36" s="97" t="s">
        <v>129</v>
      </c>
      <c r="C36" s="903"/>
      <c r="D36" s="629" t="s">
        <v>130</v>
      </c>
      <c r="E36" s="104">
        <v>18</v>
      </c>
      <c r="F36" s="579">
        <v>4</v>
      </c>
      <c r="G36" s="104">
        <v>15</v>
      </c>
      <c r="H36" s="104">
        <v>20</v>
      </c>
      <c r="I36" s="104">
        <v>20</v>
      </c>
      <c r="J36" s="99">
        <v>175329.95</v>
      </c>
      <c r="K36" s="98">
        <f>43062.49+13925.43*1.5</f>
        <v>63950.64</v>
      </c>
      <c r="L36" s="811">
        <v>72362.48</v>
      </c>
      <c r="M36" s="98">
        <f t="shared" ref="M36" si="32">J36+K36+L36</f>
        <v>311643.07</v>
      </c>
      <c r="N36" s="98">
        <f t="shared" ref="N36" si="33">G36*J36</f>
        <v>2629949.25</v>
      </c>
      <c r="O36" s="98">
        <f>G36*K36</f>
        <v>959259.6</v>
      </c>
      <c r="P36" s="109"/>
      <c r="Q36" s="99">
        <f>G36*L36</f>
        <v>1085437.2</v>
      </c>
      <c r="R36" s="99"/>
      <c r="S36" s="99"/>
      <c r="T36" s="98">
        <f t="shared" ref="T36" si="34">SUM(N36:Q36)</f>
        <v>4674646.05</v>
      </c>
      <c r="U36" s="98">
        <f>(N36+O36)+(H36*L36)</f>
        <v>5036458.45</v>
      </c>
      <c r="V36" s="98">
        <f>(N36+O36)+(I36*L36)</f>
        <v>5036458.45</v>
      </c>
      <c r="AE36" s="93"/>
      <c r="AF36" s="93"/>
      <c r="AG36" s="93"/>
    </row>
    <row r="37" spans="1:33" ht="37.950000000000003" customHeight="1" x14ac:dyDescent="0.25">
      <c r="A37" s="92"/>
      <c r="B37" s="92" t="s">
        <v>352</v>
      </c>
      <c r="C37" s="903"/>
      <c r="D37" s="629" t="s">
        <v>130</v>
      </c>
      <c r="E37" s="104">
        <f>16-1</f>
        <v>15</v>
      </c>
      <c r="F37" s="579">
        <v>13</v>
      </c>
      <c r="G37" s="104">
        <v>16</v>
      </c>
      <c r="H37" s="104">
        <v>20</v>
      </c>
      <c r="I37" s="104">
        <v>20</v>
      </c>
      <c r="J37" s="99">
        <v>132713.06</v>
      </c>
      <c r="K37" s="98">
        <f>32326.86+13925.43</f>
        <v>46252.29</v>
      </c>
      <c r="L37" s="101">
        <v>72362.48</v>
      </c>
      <c r="M37" s="98">
        <f t="shared" si="8"/>
        <v>251327.83</v>
      </c>
      <c r="N37" s="98">
        <f t="shared" si="25"/>
        <v>2123408.96</v>
      </c>
      <c r="O37" s="98">
        <f t="shared" si="26"/>
        <v>740036.64</v>
      </c>
      <c r="P37" s="109"/>
      <c r="Q37" s="99">
        <f t="shared" si="23"/>
        <v>1157799.68</v>
      </c>
      <c r="R37" s="99"/>
      <c r="S37" s="99"/>
      <c r="T37" s="98">
        <f t="shared" si="24"/>
        <v>4021245.28</v>
      </c>
      <c r="U37" s="98">
        <f>(N37+O37)+(H37*L37)</f>
        <v>4310695.2</v>
      </c>
      <c r="V37" s="98">
        <f>U37</f>
        <v>4310695.2</v>
      </c>
    </row>
    <row r="38" spans="1:33" ht="30" customHeight="1" x14ac:dyDescent="0.25">
      <c r="A38" s="92"/>
      <c r="B38" s="97" t="s">
        <v>332</v>
      </c>
      <c r="C38" s="627"/>
      <c r="D38" s="629" t="s">
        <v>130</v>
      </c>
      <c r="E38" s="104">
        <v>0</v>
      </c>
      <c r="F38" s="579">
        <f>3-3</f>
        <v>0</v>
      </c>
      <c r="G38" s="104">
        <v>0</v>
      </c>
      <c r="H38" s="104">
        <f>3-3</f>
        <v>0</v>
      </c>
      <c r="I38" s="104">
        <f>3-3</f>
        <v>0</v>
      </c>
      <c r="J38" s="99">
        <v>132713.06</v>
      </c>
      <c r="K38" s="98">
        <f>25496.5+10788.57+203012.01</f>
        <v>239297.08</v>
      </c>
      <c r="L38" s="101">
        <v>72362.48</v>
      </c>
      <c r="M38" s="98">
        <f t="shared" si="8"/>
        <v>444372.62</v>
      </c>
      <c r="N38" s="98">
        <f t="shared" si="25"/>
        <v>0</v>
      </c>
      <c r="O38" s="98">
        <f>G38*K38</f>
        <v>0</v>
      </c>
      <c r="P38" s="109"/>
      <c r="Q38" s="99">
        <f t="shared" si="23"/>
        <v>0</v>
      </c>
      <c r="R38" s="99"/>
      <c r="S38" s="99"/>
      <c r="T38" s="98">
        <f t="shared" ref="T38:T39" si="35">SUM(N38:Q38)</f>
        <v>0</v>
      </c>
      <c r="U38" s="106">
        <f t="shared" ref="U38:U39" si="36">(N38+O38)+(H38*L38)</f>
        <v>0</v>
      </c>
      <c r="V38" s="106">
        <f t="shared" ref="V38" si="37">U38</f>
        <v>0</v>
      </c>
    </row>
    <row r="39" spans="1:33" ht="28.2" customHeight="1" x14ac:dyDescent="0.25">
      <c r="A39" s="92"/>
      <c r="B39" s="97" t="s">
        <v>332</v>
      </c>
      <c r="C39" s="626"/>
      <c r="D39" s="629" t="s">
        <v>130</v>
      </c>
      <c r="E39" s="104">
        <v>0</v>
      </c>
      <c r="F39" s="579">
        <v>0</v>
      </c>
      <c r="G39" s="113">
        <v>0</v>
      </c>
      <c r="H39" s="113">
        <v>0</v>
      </c>
      <c r="I39" s="113">
        <v>0</v>
      </c>
      <c r="J39" s="99">
        <v>132713.06</v>
      </c>
      <c r="K39" s="98">
        <f>25496.5+10788.57</f>
        <v>36285.07</v>
      </c>
      <c r="L39" s="101">
        <v>72362.48</v>
      </c>
      <c r="M39" s="98">
        <f t="shared" si="8"/>
        <v>241360.61</v>
      </c>
      <c r="N39" s="98">
        <f t="shared" si="25"/>
        <v>0</v>
      </c>
      <c r="O39" s="98">
        <f t="shared" si="26"/>
        <v>0</v>
      </c>
      <c r="P39" s="109"/>
      <c r="Q39" s="99">
        <f t="shared" si="23"/>
        <v>0</v>
      </c>
      <c r="R39" s="99"/>
      <c r="S39" s="99"/>
      <c r="T39" s="98">
        <f t="shared" si="35"/>
        <v>0</v>
      </c>
      <c r="U39" s="106">
        <f t="shared" si="36"/>
        <v>0</v>
      </c>
      <c r="V39" s="372">
        <v>0</v>
      </c>
    </row>
    <row r="40" spans="1:33" ht="63.6" customHeight="1" x14ac:dyDescent="0.25">
      <c r="A40" s="92" t="s">
        <v>132</v>
      </c>
      <c r="B40" s="97" t="s">
        <v>136</v>
      </c>
      <c r="C40" s="97" t="s">
        <v>54</v>
      </c>
      <c r="D40" s="629" t="s">
        <v>130</v>
      </c>
      <c r="E40" s="113">
        <f>E30+E31+E32+E33+E37+E39+E38+E34+E36+E35</f>
        <v>78</v>
      </c>
      <c r="F40" s="673">
        <f>F30+F31+F32+F33+F37+F39+F38+F34+F36+F35</f>
        <v>74</v>
      </c>
      <c r="G40" s="113">
        <f>G30+G31+G32+G33+G37+G39+G38+G34+G36+G35</f>
        <v>79</v>
      </c>
      <c r="H40" s="113">
        <f>H30+H31+H32+H33+H37+H39+H38+H34+H36+H35</f>
        <v>85</v>
      </c>
      <c r="I40" s="113">
        <f>I30+I31+I32+I33+I37+I39+I38+I34+I36+I35</f>
        <v>85</v>
      </c>
      <c r="J40" s="99">
        <v>0</v>
      </c>
      <c r="K40" s="99">
        <v>0</v>
      </c>
      <c r="L40" s="101">
        <f>133873.54-72362.48</f>
        <v>61511.06</v>
      </c>
      <c r="M40" s="99">
        <f>J40+K40+L40</f>
        <v>61511.06</v>
      </c>
      <c r="N40" s="99">
        <f>G40*J40</f>
        <v>0</v>
      </c>
      <c r="O40" s="99">
        <f>G40*K40</f>
        <v>0</v>
      </c>
      <c r="P40" s="105">
        <f>P30+P31+P32+P33+P37+P39+P38</f>
        <v>0</v>
      </c>
      <c r="Q40" s="811">
        <f>G40*L40</f>
        <v>4859373.74</v>
      </c>
      <c r="R40" s="108">
        <f>R30+R31+R32+R33+R37+R39+R38</f>
        <v>0</v>
      </c>
      <c r="S40" s="108"/>
      <c r="T40" s="102">
        <f>SUM(N40:Q40)</f>
        <v>4859373.74</v>
      </c>
      <c r="U40" s="101">
        <f>H40*L40</f>
        <v>5228440.0999999996</v>
      </c>
      <c r="V40" s="101">
        <f>I40*L40</f>
        <v>5228440.0999999996</v>
      </c>
    </row>
    <row r="41" spans="1:33" ht="27" customHeight="1" x14ac:dyDescent="0.25">
      <c r="A41" s="483" t="s">
        <v>462</v>
      </c>
      <c r="B41" s="97" t="s">
        <v>136</v>
      </c>
      <c r="C41" s="97" t="s">
        <v>134</v>
      </c>
      <c r="D41" s="629"/>
      <c r="E41" s="109"/>
      <c r="F41" s="104"/>
      <c r="G41" s="113">
        <f>G40-G34+1</f>
        <v>79</v>
      </c>
      <c r="H41" s="113">
        <f>H40-H34</f>
        <v>85</v>
      </c>
      <c r="I41" s="113">
        <f>I40-I39</f>
        <v>85</v>
      </c>
      <c r="J41" s="99"/>
      <c r="K41" s="98"/>
      <c r="L41" s="101">
        <f>2542*12*0.67</f>
        <v>20437.68</v>
      </c>
      <c r="M41" s="98">
        <f t="shared" si="8"/>
        <v>20437.68</v>
      </c>
      <c r="N41" s="109"/>
      <c r="O41" s="98"/>
      <c r="P41" s="109"/>
      <c r="Q41" s="99"/>
      <c r="R41" s="99"/>
      <c r="S41" s="811">
        <f>G41*L41</f>
        <v>1614576.72</v>
      </c>
      <c r="T41" s="102">
        <f>S41</f>
        <v>1614576.72</v>
      </c>
      <c r="U41" s="102">
        <f>H41*L41</f>
        <v>1737202.8</v>
      </c>
      <c r="V41" s="102">
        <f>I41*L41</f>
        <v>1737202.8</v>
      </c>
    </row>
    <row r="42" spans="1:33" ht="22.2" customHeight="1" x14ac:dyDescent="0.25">
      <c r="A42" s="111" t="s">
        <v>140</v>
      </c>
      <c r="B42" s="96"/>
      <c r="C42" s="96"/>
      <c r="D42" s="111"/>
      <c r="E42" s="112"/>
      <c r="F42" s="113"/>
      <c r="G42" s="113"/>
      <c r="H42" s="112"/>
      <c r="I42" s="112"/>
      <c r="J42" s="101"/>
      <c r="K42" s="98"/>
      <c r="L42" s="101"/>
      <c r="M42" s="98">
        <f t="shared" si="8"/>
        <v>0</v>
      </c>
      <c r="N42" s="101">
        <f>N43</f>
        <v>16755519.84</v>
      </c>
      <c r="O42" s="101">
        <f>O43</f>
        <v>6482062.5499999998</v>
      </c>
      <c r="P42" s="101"/>
      <c r="Q42" s="804">
        <f>Q43+Q54</f>
        <v>12985733.380000001</v>
      </c>
      <c r="R42" s="101"/>
      <c r="S42" s="101">
        <f>S55</f>
        <v>1982454.96</v>
      </c>
      <c r="T42" s="101">
        <f>T43+T54+T55</f>
        <v>38205770.729999997</v>
      </c>
      <c r="U42" s="102">
        <f>U43+U54+U55</f>
        <v>38205770.729999997</v>
      </c>
      <c r="V42" s="102">
        <f>V43+V54+V55</f>
        <v>38205770.729999997</v>
      </c>
      <c r="W42" s="115">
        <v>10231531.529999999</v>
      </c>
      <c r="X42" s="93">
        <f>W42-Q42</f>
        <v>-2754201.85</v>
      </c>
      <c r="Y42" s="83">
        <f>X42/G54</f>
        <v>-28393.833505154598</v>
      </c>
      <c r="AA42" s="83">
        <v>10354392.529999999</v>
      </c>
      <c r="AB42" s="93">
        <f>AA42-Q42</f>
        <v>-2631340.85</v>
      </c>
      <c r="AC42" s="83">
        <f>AB42/I54</f>
        <v>-27127.225257732</v>
      </c>
    </row>
    <row r="43" spans="1:33" ht="70.95" customHeight="1" x14ac:dyDescent="0.25">
      <c r="A43" s="92" t="s">
        <v>127</v>
      </c>
      <c r="B43" s="87" t="s">
        <v>128</v>
      </c>
      <c r="C43" s="87"/>
      <c r="D43" s="629"/>
      <c r="E43" s="109"/>
      <c r="F43" s="104"/>
      <c r="G43" s="104"/>
      <c r="H43" s="109"/>
      <c r="I43" s="109"/>
      <c r="J43" s="99"/>
      <c r="K43" s="98"/>
      <c r="L43" s="99"/>
      <c r="M43" s="98"/>
      <c r="N43" s="98">
        <f>SUM(N44:N53)</f>
        <v>16755519.84</v>
      </c>
      <c r="O43" s="98">
        <f>SUM(O44:O53)</f>
        <v>6482062.5499999998</v>
      </c>
      <c r="P43" s="109"/>
      <c r="Q43" s="811">
        <f>SUM(Q44:Q50)</f>
        <v>7019160.5599999996</v>
      </c>
      <c r="R43" s="99"/>
      <c r="S43" s="99"/>
      <c r="T43" s="813">
        <f>SUM(T44:T53)</f>
        <v>30256742.949999999</v>
      </c>
      <c r="U43" s="98">
        <f>SUM(U44:U53)</f>
        <v>30256742.949999999</v>
      </c>
      <c r="V43" s="98">
        <f>SUM(V44:V53)</f>
        <v>30256742.949999999</v>
      </c>
      <c r="W43" s="93">
        <v>29143419.530000001</v>
      </c>
      <c r="X43" s="93"/>
      <c r="AA43" s="93">
        <f>29143419.53+U55</f>
        <v>31125874.489999998</v>
      </c>
      <c r="AB43" s="93">
        <f>U42-AA43</f>
        <v>7079896.2400000002</v>
      </c>
    </row>
    <row r="44" spans="1:33" ht="45" customHeight="1" x14ac:dyDescent="0.25">
      <c r="A44" s="92"/>
      <c r="B44" s="97" t="s">
        <v>129</v>
      </c>
      <c r="C44" s="872" t="s">
        <v>294</v>
      </c>
      <c r="D44" s="629" t="s">
        <v>130</v>
      </c>
      <c r="E44" s="104">
        <f>16+1</f>
        <v>17</v>
      </c>
      <c r="F44" s="579">
        <v>12</v>
      </c>
      <c r="G44" s="104">
        <v>13</v>
      </c>
      <c r="H44" s="104">
        <v>13</v>
      </c>
      <c r="I44" s="104">
        <v>13</v>
      </c>
      <c r="J44" s="99">
        <v>86493.99</v>
      </c>
      <c r="K44" s="98">
        <f>43062.49+13925.43</f>
        <v>56987.92</v>
      </c>
      <c r="L44" s="101">
        <v>72362.48</v>
      </c>
      <c r="M44" s="98">
        <f t="shared" si="8"/>
        <v>215844.39</v>
      </c>
      <c r="N44" s="98">
        <f t="shared" ref="N44:N50" si="38">G44*J44</f>
        <v>1124421.8700000001</v>
      </c>
      <c r="O44" s="98">
        <f>G44*K44</f>
        <v>740842.96</v>
      </c>
      <c r="P44" s="109"/>
      <c r="Q44" s="99">
        <f>G44*L44</f>
        <v>940712.24</v>
      </c>
      <c r="R44" s="99"/>
      <c r="S44" s="99"/>
      <c r="T44" s="98">
        <f t="shared" ref="T44:T50" si="39">SUM(N44:Q44)</f>
        <v>2805977.07</v>
      </c>
      <c r="U44" s="98">
        <f t="shared" ref="U44:V53" si="40">T44</f>
        <v>2805977.07</v>
      </c>
      <c r="V44" s="98">
        <f t="shared" si="40"/>
        <v>2805977.07</v>
      </c>
      <c r="X44" s="93">
        <f>W43-U42</f>
        <v>-9062351.1999999993</v>
      </c>
    </row>
    <row r="45" spans="1:33" ht="55.95" customHeight="1" x14ac:dyDescent="0.25">
      <c r="A45" s="92"/>
      <c r="B45" s="97" t="s">
        <v>334</v>
      </c>
      <c r="C45" s="884"/>
      <c r="D45" s="629" t="s">
        <v>130</v>
      </c>
      <c r="E45" s="104">
        <v>1</v>
      </c>
      <c r="F45" s="579">
        <v>0</v>
      </c>
      <c r="G45" s="104">
        <v>1</v>
      </c>
      <c r="H45" s="104">
        <v>1</v>
      </c>
      <c r="I45" s="104">
        <v>1</v>
      </c>
      <c r="J45" s="99">
        <v>86493.99</v>
      </c>
      <c r="K45" s="98">
        <f>43062.49+13925.43</f>
        <v>56987.92</v>
      </c>
      <c r="L45" s="101">
        <v>72362.48</v>
      </c>
      <c r="M45" s="98">
        <f t="shared" ref="M45" si="41">J45+K45+L45</f>
        <v>215844.39</v>
      </c>
      <c r="N45" s="98">
        <f t="shared" si="38"/>
        <v>86493.99</v>
      </c>
      <c r="O45" s="98">
        <f>G45*K45</f>
        <v>56987.92</v>
      </c>
      <c r="P45" s="109"/>
      <c r="Q45" s="99">
        <f>G45*L45</f>
        <v>72362.48</v>
      </c>
      <c r="R45" s="99"/>
      <c r="S45" s="99"/>
      <c r="T45" s="98">
        <f t="shared" si="39"/>
        <v>215844.39</v>
      </c>
      <c r="U45" s="98">
        <f t="shared" ref="U45" si="42">T45</f>
        <v>215844.39</v>
      </c>
      <c r="V45" s="98">
        <f t="shared" ref="V45" si="43">U45</f>
        <v>215844.39</v>
      </c>
      <c r="X45" s="93"/>
    </row>
    <row r="46" spans="1:33" ht="36" customHeight="1" x14ac:dyDescent="0.25">
      <c r="A46" s="480" t="s">
        <v>509</v>
      </c>
      <c r="B46" s="97" t="s">
        <v>333</v>
      </c>
      <c r="C46" s="872" t="s">
        <v>443</v>
      </c>
      <c r="D46" s="629" t="s">
        <v>130</v>
      </c>
      <c r="E46" s="104">
        <f>3+1</f>
        <v>4</v>
      </c>
      <c r="F46" s="579">
        <v>5</v>
      </c>
      <c r="G46" s="113">
        <v>5</v>
      </c>
      <c r="H46" s="104">
        <v>5</v>
      </c>
      <c r="I46" s="104">
        <v>5</v>
      </c>
      <c r="J46" s="99">
        <v>245948.56</v>
      </c>
      <c r="K46" s="98">
        <f>64533.72+13925.43*2</f>
        <v>92384.58</v>
      </c>
      <c r="L46" s="101">
        <v>72362.48</v>
      </c>
      <c r="M46" s="98">
        <f t="shared" si="8"/>
        <v>410695.62</v>
      </c>
      <c r="N46" s="98">
        <f t="shared" si="38"/>
        <v>1229742.8</v>
      </c>
      <c r="O46" s="98">
        <f>G46*K46</f>
        <v>461922.9</v>
      </c>
      <c r="P46" s="109"/>
      <c r="Q46" s="99">
        <f>G46*L46</f>
        <v>361812.4</v>
      </c>
      <c r="R46" s="99"/>
      <c r="S46" s="99"/>
      <c r="T46" s="98">
        <f t="shared" si="39"/>
        <v>2053478.1</v>
      </c>
      <c r="U46" s="98">
        <f t="shared" si="40"/>
        <v>2053478.1</v>
      </c>
      <c r="V46" s="98">
        <f t="shared" si="40"/>
        <v>2053478.1</v>
      </c>
    </row>
    <row r="47" spans="1:33" ht="69" customHeight="1" x14ac:dyDescent="0.25">
      <c r="A47" s="92"/>
      <c r="B47" s="97" t="s">
        <v>332</v>
      </c>
      <c r="C47" s="884"/>
      <c r="D47" s="629" t="s">
        <v>130</v>
      </c>
      <c r="E47" s="104">
        <v>42</v>
      </c>
      <c r="F47" s="579">
        <v>36</v>
      </c>
      <c r="G47" s="104">
        <v>35</v>
      </c>
      <c r="H47" s="104">
        <v>35</v>
      </c>
      <c r="I47" s="104">
        <v>35</v>
      </c>
      <c r="J47" s="99">
        <v>245948.56</v>
      </c>
      <c r="K47" s="98">
        <f>64533.72+13925.43*2</f>
        <v>92384.58</v>
      </c>
      <c r="L47" s="101">
        <v>72362.48</v>
      </c>
      <c r="M47" s="98">
        <f t="shared" si="8"/>
        <v>410695.62</v>
      </c>
      <c r="N47" s="98">
        <f>G47*J47</f>
        <v>8608199.5999999996</v>
      </c>
      <c r="O47" s="98">
        <f>G47*K47</f>
        <v>3233460.3</v>
      </c>
      <c r="P47" s="109"/>
      <c r="Q47" s="99">
        <f t="shared" ref="Q47:Q50" si="44">G47*L47</f>
        <v>2532686.7999999998</v>
      </c>
      <c r="R47" s="99"/>
      <c r="S47" s="99"/>
      <c r="T47" s="98">
        <f t="shared" si="39"/>
        <v>14374346.699999999</v>
      </c>
      <c r="U47" s="98">
        <f t="shared" si="40"/>
        <v>14374346.699999999</v>
      </c>
      <c r="V47" s="98">
        <f t="shared" si="40"/>
        <v>14374346.699999999</v>
      </c>
    </row>
    <row r="48" spans="1:33" ht="42" customHeight="1" x14ac:dyDescent="0.25">
      <c r="A48" s="92"/>
      <c r="B48" s="97" t="s">
        <v>333</v>
      </c>
      <c r="C48" s="912" t="s">
        <v>603</v>
      </c>
      <c r="D48" s="629" t="s">
        <v>130</v>
      </c>
      <c r="E48" s="104">
        <v>8</v>
      </c>
      <c r="F48" s="579">
        <v>7</v>
      </c>
      <c r="G48" s="104">
        <v>9</v>
      </c>
      <c r="H48" s="104">
        <v>9</v>
      </c>
      <c r="I48" s="104">
        <v>9</v>
      </c>
      <c r="J48" s="99">
        <v>132713.06</v>
      </c>
      <c r="K48" s="98">
        <f>32326.86+13925.43*1</f>
        <v>46252.29</v>
      </c>
      <c r="L48" s="101">
        <v>72362.48</v>
      </c>
      <c r="M48" s="98">
        <f t="shared" si="8"/>
        <v>251327.83</v>
      </c>
      <c r="N48" s="98">
        <f t="shared" si="38"/>
        <v>1194417.54</v>
      </c>
      <c r="O48" s="98">
        <f t="shared" ref="O48" si="45">G48*K48</f>
        <v>416270.61</v>
      </c>
      <c r="P48" s="109"/>
      <c r="Q48" s="99">
        <f t="shared" si="44"/>
        <v>651262.31999999995</v>
      </c>
      <c r="R48" s="99"/>
      <c r="S48" s="99"/>
      <c r="T48" s="98">
        <f t="shared" si="39"/>
        <v>2261950.4700000002</v>
      </c>
      <c r="U48" s="98">
        <f t="shared" si="40"/>
        <v>2261950.4700000002</v>
      </c>
      <c r="V48" s="98">
        <f t="shared" si="40"/>
        <v>2261950.4700000002</v>
      </c>
    </row>
    <row r="49" spans="1:32" ht="42" customHeight="1" x14ac:dyDescent="0.25">
      <c r="A49" s="92"/>
      <c r="B49" s="97" t="s">
        <v>129</v>
      </c>
      <c r="C49" s="913"/>
      <c r="D49" s="629" t="s">
        <v>130</v>
      </c>
      <c r="E49" s="104"/>
      <c r="F49" s="579"/>
      <c r="G49" s="104">
        <v>0</v>
      </c>
      <c r="H49" s="104">
        <v>0</v>
      </c>
      <c r="I49" s="104">
        <v>0</v>
      </c>
      <c r="J49" s="99">
        <v>132713.06</v>
      </c>
      <c r="K49" s="98">
        <f t="shared" ref="K49:K50" si="46">32326.86+13925.43*1</f>
        <v>46252.29</v>
      </c>
      <c r="L49" s="101">
        <v>72362.48</v>
      </c>
      <c r="M49" s="98">
        <f t="shared" ref="M49" si="47">J49+K49+L49</f>
        <v>251327.83</v>
      </c>
      <c r="N49" s="98">
        <f t="shared" ref="N49" si="48">G49*J49</f>
        <v>0</v>
      </c>
      <c r="O49" s="98">
        <f t="shared" ref="O49" si="49">G49*K49</f>
        <v>0</v>
      </c>
      <c r="P49" s="109"/>
      <c r="Q49" s="99">
        <f t="shared" ref="Q49" si="50">G49*L49</f>
        <v>0</v>
      </c>
      <c r="R49" s="99"/>
      <c r="S49" s="99"/>
      <c r="T49" s="98">
        <f t="shared" ref="T49" si="51">SUM(N49:Q49)</f>
        <v>0</v>
      </c>
      <c r="U49" s="98">
        <f t="shared" ref="U49" si="52">T49</f>
        <v>0</v>
      </c>
      <c r="V49" s="98">
        <f t="shared" ref="V49" si="53">U49</f>
        <v>0</v>
      </c>
    </row>
    <row r="50" spans="1:32" ht="69" customHeight="1" x14ac:dyDescent="0.25">
      <c r="A50" s="92"/>
      <c r="B50" s="97" t="s">
        <v>334</v>
      </c>
      <c r="C50" s="914"/>
      <c r="D50" s="629" t="s">
        <v>130</v>
      </c>
      <c r="E50" s="104">
        <v>44</v>
      </c>
      <c r="F50" s="579">
        <v>37</v>
      </c>
      <c r="G50" s="113">
        <v>34</v>
      </c>
      <c r="H50" s="104">
        <v>34</v>
      </c>
      <c r="I50" s="104">
        <v>34</v>
      </c>
      <c r="J50" s="99">
        <v>132713.06</v>
      </c>
      <c r="K50" s="98">
        <f t="shared" si="46"/>
        <v>46252.29</v>
      </c>
      <c r="L50" s="101">
        <v>72362.48</v>
      </c>
      <c r="M50" s="98">
        <f t="shared" si="8"/>
        <v>251327.83</v>
      </c>
      <c r="N50" s="98">
        <f t="shared" si="38"/>
        <v>4512244.04</v>
      </c>
      <c r="O50" s="98">
        <f>G50*K50</f>
        <v>1572577.86</v>
      </c>
      <c r="P50" s="109"/>
      <c r="Q50" s="99">
        <f t="shared" si="44"/>
        <v>2460324.3199999998</v>
      </c>
      <c r="R50" s="99"/>
      <c r="S50" s="99"/>
      <c r="T50" s="98">
        <f t="shared" si="39"/>
        <v>8545146.2200000007</v>
      </c>
      <c r="U50" s="98">
        <f t="shared" si="40"/>
        <v>8545146.2200000007</v>
      </c>
      <c r="V50" s="98">
        <f t="shared" si="40"/>
        <v>8545146.2200000007</v>
      </c>
    </row>
    <row r="51" spans="1:32" s="84" customFormat="1" ht="61.2" hidden="1" customHeight="1" x14ac:dyDescent="0.25">
      <c r="A51" s="629"/>
      <c r="B51" s="111"/>
      <c r="C51" s="629" t="s">
        <v>44</v>
      </c>
      <c r="D51" s="629"/>
      <c r="E51" s="104"/>
      <c r="F51" s="579"/>
      <c r="G51" s="104"/>
      <c r="H51" s="104"/>
      <c r="I51" s="104"/>
      <c r="J51" s="99"/>
      <c r="K51" s="98">
        <f t="shared" ref="K51:K67" si="54">(12142.68*2.133649)</f>
        <v>25908.22</v>
      </c>
      <c r="L51" s="99"/>
      <c r="M51" s="98">
        <f t="shared" si="8"/>
        <v>25908.22</v>
      </c>
      <c r="N51" s="109"/>
      <c r="O51" s="98"/>
      <c r="P51" s="109"/>
      <c r="Q51" s="99"/>
      <c r="R51" s="99"/>
      <c r="S51" s="99"/>
      <c r="T51" s="98">
        <f>O51</f>
        <v>0</v>
      </c>
      <c r="U51" s="98">
        <f t="shared" si="40"/>
        <v>0</v>
      </c>
      <c r="V51" s="98">
        <f t="shared" si="40"/>
        <v>0</v>
      </c>
      <c r="AD51" s="83"/>
      <c r="AE51" s="83"/>
      <c r="AF51" s="83"/>
    </row>
    <row r="52" spans="1:32" ht="61.2" hidden="1" customHeight="1" x14ac:dyDescent="0.25">
      <c r="A52" s="92"/>
      <c r="B52" s="87"/>
      <c r="C52" s="97" t="s">
        <v>44</v>
      </c>
      <c r="D52" s="629"/>
      <c r="E52" s="104"/>
      <c r="F52" s="579"/>
      <c r="G52" s="104"/>
      <c r="H52" s="104"/>
      <c r="I52" s="104"/>
      <c r="J52" s="99"/>
      <c r="K52" s="98">
        <f t="shared" si="54"/>
        <v>25908.22</v>
      </c>
      <c r="L52" s="99"/>
      <c r="M52" s="98">
        <f t="shared" si="8"/>
        <v>25908.22</v>
      </c>
      <c r="N52" s="109"/>
      <c r="O52" s="98"/>
      <c r="P52" s="109"/>
      <c r="Q52" s="99"/>
      <c r="R52" s="99"/>
      <c r="S52" s="99"/>
      <c r="T52" s="98">
        <f>N52</f>
        <v>0</v>
      </c>
      <c r="U52" s="98">
        <f t="shared" si="40"/>
        <v>0</v>
      </c>
      <c r="V52" s="98">
        <f t="shared" si="40"/>
        <v>0</v>
      </c>
    </row>
    <row r="53" spans="1:32" ht="61.2" hidden="1" customHeight="1" x14ac:dyDescent="0.25">
      <c r="A53" s="92"/>
      <c r="B53" s="87"/>
      <c r="C53" s="97"/>
      <c r="D53" s="629"/>
      <c r="E53" s="104"/>
      <c r="F53" s="579"/>
      <c r="G53" s="104"/>
      <c r="H53" s="104"/>
      <c r="I53" s="104"/>
      <c r="J53" s="99"/>
      <c r="K53" s="98">
        <f t="shared" si="54"/>
        <v>25908.22</v>
      </c>
      <c r="L53" s="99"/>
      <c r="M53" s="98">
        <f t="shared" si="8"/>
        <v>25908.22</v>
      </c>
      <c r="N53" s="109"/>
      <c r="O53" s="98"/>
      <c r="P53" s="109"/>
      <c r="Q53" s="99"/>
      <c r="R53" s="99"/>
      <c r="S53" s="99"/>
      <c r="T53" s="98">
        <f>O53</f>
        <v>0</v>
      </c>
      <c r="U53" s="98">
        <f t="shared" si="40"/>
        <v>0</v>
      </c>
      <c r="V53" s="98">
        <f t="shared" si="40"/>
        <v>0</v>
      </c>
    </row>
    <row r="54" spans="1:32" ht="61.2" customHeight="1" x14ac:dyDescent="0.25">
      <c r="A54" s="92" t="s">
        <v>132</v>
      </c>
      <c r="B54" s="97" t="s">
        <v>133</v>
      </c>
      <c r="C54" s="97" t="s">
        <v>54</v>
      </c>
      <c r="D54" s="629" t="s">
        <v>130</v>
      </c>
      <c r="E54" s="104">
        <f>E50+E48+E47+E46+E44+E45</f>
        <v>116</v>
      </c>
      <c r="F54" s="673">
        <f>F50+F48+F47+F46+F44+F45</f>
        <v>97</v>
      </c>
      <c r="G54" s="113">
        <f>G50+G49+G48+G47+G46+G44+G45</f>
        <v>97</v>
      </c>
      <c r="H54" s="104">
        <f>H50+H49+H48+H47+H46+H44+H45</f>
        <v>97</v>
      </c>
      <c r="I54" s="104">
        <f>I50+I49+I48+I47+I46+I44+I45</f>
        <v>97</v>
      </c>
      <c r="J54" s="99">
        <v>0</v>
      </c>
      <c r="K54" s="98">
        <v>0</v>
      </c>
      <c r="L54" s="101">
        <f>61511.06</f>
        <v>61511.06</v>
      </c>
      <c r="M54" s="98">
        <f t="shared" si="8"/>
        <v>61511.06</v>
      </c>
      <c r="N54" s="98">
        <f>G54*J54</f>
        <v>0</v>
      </c>
      <c r="O54" s="98">
        <f>G54*K54</f>
        <v>0</v>
      </c>
      <c r="P54" s="109"/>
      <c r="Q54" s="811">
        <f>G54*L54</f>
        <v>5966572.8200000003</v>
      </c>
      <c r="R54" s="99"/>
      <c r="S54" s="99"/>
      <c r="T54" s="102">
        <f>SUM(N54:Q54)</f>
        <v>5966572.8200000003</v>
      </c>
      <c r="U54" s="98">
        <f>H54*L54</f>
        <v>5966572.8200000003</v>
      </c>
      <c r="V54" s="98">
        <f>I54*L54</f>
        <v>5966572.8200000003</v>
      </c>
    </row>
    <row r="55" spans="1:32" ht="29.4" customHeight="1" x14ac:dyDescent="0.25">
      <c r="A55" s="483" t="s">
        <v>511</v>
      </c>
      <c r="B55" s="97" t="s">
        <v>133</v>
      </c>
      <c r="C55" s="97" t="s">
        <v>134</v>
      </c>
      <c r="D55" s="629"/>
      <c r="E55" s="109"/>
      <c r="F55" s="104"/>
      <c r="G55" s="113">
        <f>G54</f>
        <v>97</v>
      </c>
      <c r="H55" s="113">
        <f>H54</f>
        <v>97</v>
      </c>
      <c r="I55" s="113">
        <f>I54</f>
        <v>97</v>
      </c>
      <c r="J55" s="99"/>
      <c r="K55" s="98"/>
      <c r="L55" s="101">
        <v>20437.68</v>
      </c>
      <c r="M55" s="98">
        <f t="shared" si="8"/>
        <v>20437.68</v>
      </c>
      <c r="N55" s="109"/>
      <c r="O55" s="98"/>
      <c r="P55" s="109"/>
      <c r="Q55" s="99"/>
      <c r="R55" s="99"/>
      <c r="S55" s="811">
        <f>G55*L55</f>
        <v>1982454.96</v>
      </c>
      <c r="T55" s="102">
        <f>S55</f>
        <v>1982454.96</v>
      </c>
      <c r="U55" s="98">
        <f>H55*L55</f>
        <v>1982454.96</v>
      </c>
      <c r="V55" s="98">
        <f>I55*L55</f>
        <v>1982454.96</v>
      </c>
    </row>
    <row r="56" spans="1:32" ht="29.4" customHeight="1" x14ac:dyDescent="0.25">
      <c r="A56" s="96" t="s">
        <v>141</v>
      </c>
      <c r="B56" s="96"/>
      <c r="C56" s="96"/>
      <c r="D56" s="111"/>
      <c r="E56" s="112"/>
      <c r="F56" s="113"/>
      <c r="G56" s="113"/>
      <c r="H56" s="112"/>
      <c r="I56" s="112"/>
      <c r="J56" s="101"/>
      <c r="K56" s="98"/>
      <c r="L56" s="101"/>
      <c r="M56" s="98">
        <f t="shared" si="8"/>
        <v>0</v>
      </c>
      <c r="N56" s="101">
        <f>N57</f>
        <v>12009959.619999999</v>
      </c>
      <c r="O56" s="101">
        <f>O57</f>
        <v>4762391.45</v>
      </c>
      <c r="P56" s="113">
        <f>P57</f>
        <v>0</v>
      </c>
      <c r="Q56" s="804">
        <f>Q57+Q68</f>
        <v>11513124.439999999</v>
      </c>
      <c r="R56" s="101">
        <f>R57</f>
        <v>0</v>
      </c>
      <c r="S56" s="101">
        <f>S69</f>
        <v>1757640.48</v>
      </c>
      <c r="T56" s="101">
        <f>T57+T68+T69</f>
        <v>29785461.09</v>
      </c>
      <c r="U56" s="101">
        <f>U57+U68+U69</f>
        <v>29785461.09</v>
      </c>
      <c r="V56" s="101">
        <f>V57+V68+V69</f>
        <v>29785461.09</v>
      </c>
      <c r="W56" s="83">
        <v>5581141.5300000003</v>
      </c>
      <c r="X56" s="93">
        <f>W56-Q56</f>
        <v>-5931982.9100000001</v>
      </c>
      <c r="Y56" s="83">
        <f>X56/G68</f>
        <v>-68976.545465116302</v>
      </c>
      <c r="AA56" s="83">
        <v>5552393.5300000003</v>
      </c>
      <c r="AB56" s="93">
        <f>AA56-Q56</f>
        <v>-5960730.9100000001</v>
      </c>
    </row>
    <row r="57" spans="1:32" ht="69.599999999999994" customHeight="1" x14ac:dyDescent="0.25">
      <c r="A57" s="92" t="s">
        <v>127</v>
      </c>
      <c r="B57" s="87" t="s">
        <v>128</v>
      </c>
      <c r="C57" s="87"/>
      <c r="D57" s="629"/>
      <c r="E57" s="109"/>
      <c r="F57" s="104"/>
      <c r="G57" s="104"/>
      <c r="H57" s="109"/>
      <c r="I57" s="109"/>
      <c r="J57" s="99"/>
      <c r="K57" s="98"/>
      <c r="L57" s="99"/>
      <c r="M57" s="98"/>
      <c r="N57" s="98">
        <f>SUM(N59:N67)</f>
        <v>12009959.619999999</v>
      </c>
      <c r="O57" s="98">
        <f>SUM(O58:P67)</f>
        <v>4762391.45</v>
      </c>
      <c r="P57" s="116"/>
      <c r="Q57" s="101">
        <f>SUM(Q59:Q65)</f>
        <v>6223173.2800000003</v>
      </c>
      <c r="R57" s="99"/>
      <c r="S57" s="99"/>
      <c r="T57" s="102">
        <f>SUM(T59:T67)</f>
        <v>22737869.449999999</v>
      </c>
      <c r="U57" s="98">
        <f t="shared" ref="U57:V57" si="55">SUM(U59:U67)</f>
        <v>22737869.449999999</v>
      </c>
      <c r="V57" s="98">
        <f t="shared" si="55"/>
        <v>22737869.449999999</v>
      </c>
      <c r="W57" s="93">
        <v>14544322.529999999</v>
      </c>
      <c r="AA57" s="93">
        <f>14544322.53+U69</f>
        <v>16301963.01</v>
      </c>
      <c r="AB57" s="93">
        <f>U56-AA57</f>
        <v>13483498.08</v>
      </c>
    </row>
    <row r="58" spans="1:32" ht="28.2" customHeight="1" x14ac:dyDescent="0.25">
      <c r="A58" s="87" t="s">
        <v>474</v>
      </c>
      <c r="B58" s="96" t="s">
        <v>157</v>
      </c>
      <c r="C58" s="815"/>
      <c r="D58" s="629" t="s">
        <v>130</v>
      </c>
      <c r="E58" s="109"/>
      <c r="F58" s="104"/>
      <c r="G58" s="104">
        <v>1</v>
      </c>
      <c r="H58" s="109">
        <v>1</v>
      </c>
      <c r="I58" s="109">
        <v>1</v>
      </c>
      <c r="J58" s="99">
        <v>0</v>
      </c>
      <c r="K58" s="98">
        <v>257654.9</v>
      </c>
      <c r="L58" s="99">
        <v>0</v>
      </c>
      <c r="M58" s="98">
        <f>J58+K58+L58</f>
        <v>257654.9</v>
      </c>
      <c r="N58" s="98">
        <v>0</v>
      </c>
      <c r="O58" s="98">
        <f>K58*G58</f>
        <v>257654.9</v>
      </c>
      <c r="P58" s="116"/>
      <c r="Q58" s="101">
        <v>0</v>
      </c>
      <c r="R58" s="99"/>
      <c r="S58" s="99"/>
      <c r="T58" s="102">
        <v>0</v>
      </c>
      <c r="U58" s="98">
        <v>0</v>
      </c>
      <c r="V58" s="98">
        <v>0</v>
      </c>
      <c r="W58" s="93"/>
      <c r="AA58" s="93"/>
      <c r="AB58" s="93"/>
    </row>
    <row r="59" spans="1:32" ht="99.6" customHeight="1" x14ac:dyDescent="0.25">
      <c r="A59" s="92"/>
      <c r="B59" s="92" t="s">
        <v>142</v>
      </c>
      <c r="C59" s="677" t="s">
        <v>294</v>
      </c>
      <c r="D59" s="629" t="s">
        <v>130</v>
      </c>
      <c r="E59" s="104">
        <v>0</v>
      </c>
      <c r="F59" s="579">
        <v>14</v>
      </c>
      <c r="G59" s="113">
        <v>0</v>
      </c>
      <c r="H59" s="104">
        <v>0</v>
      </c>
      <c r="I59" s="104">
        <v>0</v>
      </c>
      <c r="J59" s="99">
        <v>86493.99</v>
      </c>
      <c r="K59" s="98">
        <f>46867.01+15649.51*1</f>
        <v>62516.52</v>
      </c>
      <c r="L59" s="101">
        <v>72362.48</v>
      </c>
      <c r="M59" s="98">
        <f t="shared" ref="M59:M60" si="56">J59+K59+L59</f>
        <v>221372.99</v>
      </c>
      <c r="N59" s="98">
        <f t="shared" ref="N59:N65" si="57">G59*J59</f>
        <v>0</v>
      </c>
      <c r="O59" s="98">
        <f>G59*K59</f>
        <v>0</v>
      </c>
      <c r="P59" s="109"/>
      <c r="Q59" s="99">
        <f>G59*L59</f>
        <v>0</v>
      </c>
      <c r="R59" s="99"/>
      <c r="S59" s="99"/>
      <c r="T59" s="98">
        <f t="shared" ref="T59:T65" si="58">SUM(N59:Q59)</f>
        <v>0</v>
      </c>
      <c r="U59" s="98">
        <f t="shared" ref="U59:U60" si="59">T59</f>
        <v>0</v>
      </c>
      <c r="V59" s="98">
        <f t="shared" ref="V59:V60" si="60">U59</f>
        <v>0</v>
      </c>
      <c r="W59" s="93"/>
      <c r="AA59" s="93"/>
      <c r="AB59" s="93"/>
    </row>
    <row r="60" spans="1:32" ht="103.95" customHeight="1" x14ac:dyDescent="0.25">
      <c r="A60" s="92"/>
      <c r="B60" s="92" t="s">
        <v>332</v>
      </c>
      <c r="C60" s="677" t="s">
        <v>518</v>
      </c>
      <c r="D60" s="629" t="s">
        <v>130</v>
      </c>
      <c r="E60" s="104">
        <v>0</v>
      </c>
      <c r="F60" s="579">
        <v>12</v>
      </c>
      <c r="G60" s="104">
        <v>0</v>
      </c>
      <c r="H60" s="104">
        <v>0</v>
      </c>
      <c r="I60" s="104">
        <v>0</v>
      </c>
      <c r="J60" s="99">
        <v>245948.56</v>
      </c>
      <c r="K60" s="98">
        <f>70240.51+15649.51*2</f>
        <v>101539.53</v>
      </c>
      <c r="L60" s="101">
        <v>72362.48</v>
      </c>
      <c r="M60" s="98">
        <f t="shared" si="56"/>
        <v>419850.57</v>
      </c>
      <c r="N60" s="98">
        <f t="shared" si="57"/>
        <v>0</v>
      </c>
      <c r="O60" s="98">
        <f>G60*K60</f>
        <v>0</v>
      </c>
      <c r="P60" s="109"/>
      <c r="Q60" s="99">
        <f>G60*L60</f>
        <v>0</v>
      </c>
      <c r="R60" s="99"/>
      <c r="S60" s="99"/>
      <c r="T60" s="98">
        <f t="shared" si="58"/>
        <v>0</v>
      </c>
      <c r="U60" s="98">
        <f t="shared" si="59"/>
        <v>0</v>
      </c>
      <c r="V60" s="98">
        <f t="shared" si="60"/>
        <v>0</v>
      </c>
      <c r="W60" s="93"/>
      <c r="AA60" s="93"/>
      <c r="AB60" s="93"/>
    </row>
    <row r="61" spans="1:32" ht="31.2" customHeight="1" x14ac:dyDescent="0.25">
      <c r="A61" s="92"/>
      <c r="B61" s="97" t="s">
        <v>142</v>
      </c>
      <c r="C61" s="872" t="s">
        <v>295</v>
      </c>
      <c r="D61" s="629" t="s">
        <v>130</v>
      </c>
      <c r="E61" s="104">
        <f>20-3</f>
        <v>17</v>
      </c>
      <c r="F61" s="579">
        <v>2</v>
      </c>
      <c r="G61" s="104">
        <v>14</v>
      </c>
      <c r="H61" s="104">
        <v>14</v>
      </c>
      <c r="I61" s="104">
        <v>14</v>
      </c>
      <c r="J61" s="99">
        <f>95705.64+79624.31</f>
        <v>175329.95</v>
      </c>
      <c r="K61" s="98">
        <f>43062.49+17492.53*1.5</f>
        <v>69301.289999999994</v>
      </c>
      <c r="L61" s="101">
        <v>72362.48</v>
      </c>
      <c r="M61" s="98">
        <f t="shared" si="8"/>
        <v>316993.71999999997</v>
      </c>
      <c r="N61" s="98">
        <f t="shared" si="57"/>
        <v>2454619.2999999998</v>
      </c>
      <c r="O61" s="98">
        <f>G61*K61</f>
        <v>970218.06</v>
      </c>
      <c r="P61" s="109"/>
      <c r="Q61" s="99">
        <f>G61*L61</f>
        <v>1013074.72</v>
      </c>
      <c r="R61" s="99"/>
      <c r="S61" s="99"/>
      <c r="T61" s="98">
        <f t="shared" si="58"/>
        <v>4437912.08</v>
      </c>
      <c r="U61" s="98">
        <f t="shared" ref="U61:V67" si="61">T61</f>
        <v>4437912.08</v>
      </c>
      <c r="V61" s="98">
        <f t="shared" si="61"/>
        <v>4437912.08</v>
      </c>
      <c r="X61" s="93">
        <f>W57-U56</f>
        <v>-15241138.560000001</v>
      </c>
    </row>
    <row r="62" spans="1:32" ht="28.95" customHeight="1" x14ac:dyDescent="0.25">
      <c r="A62" s="92"/>
      <c r="B62" s="97" t="s">
        <v>332</v>
      </c>
      <c r="C62" s="903"/>
      <c r="D62" s="629" t="s">
        <v>130</v>
      </c>
      <c r="E62" s="104">
        <v>4</v>
      </c>
      <c r="F62" s="579">
        <v>1</v>
      </c>
      <c r="G62" s="104">
        <f>2-2</f>
        <v>0</v>
      </c>
      <c r="H62" s="104">
        <f>2-2</f>
        <v>0</v>
      </c>
      <c r="I62" s="104">
        <f>2-2</f>
        <v>0</v>
      </c>
      <c r="J62" s="99">
        <f>95705.64+37007.42</f>
        <v>132713.06</v>
      </c>
      <c r="K62" s="98">
        <f>32326.86+17492.53</f>
        <v>49819.39</v>
      </c>
      <c r="L62" s="101">
        <v>72362.48</v>
      </c>
      <c r="M62" s="98">
        <f t="shared" si="8"/>
        <v>254894.93</v>
      </c>
      <c r="N62" s="98">
        <f t="shared" si="57"/>
        <v>0</v>
      </c>
      <c r="O62" s="98">
        <f t="shared" ref="O62" si="62">G62*K62</f>
        <v>0</v>
      </c>
      <c r="P62" s="109"/>
      <c r="Q62" s="99">
        <f t="shared" ref="Q62:Q64" si="63">G62*L62</f>
        <v>0</v>
      </c>
      <c r="R62" s="99"/>
      <c r="S62" s="99"/>
      <c r="T62" s="98">
        <f t="shared" si="58"/>
        <v>0</v>
      </c>
      <c r="U62" s="98">
        <f t="shared" si="61"/>
        <v>0</v>
      </c>
      <c r="V62" s="98">
        <f t="shared" si="61"/>
        <v>0</v>
      </c>
    </row>
    <row r="63" spans="1:32" ht="23.4" customHeight="1" x14ac:dyDescent="0.25">
      <c r="A63" s="92"/>
      <c r="B63" s="97" t="s">
        <v>332</v>
      </c>
      <c r="C63" s="903"/>
      <c r="D63" s="629" t="s">
        <v>130</v>
      </c>
      <c r="E63" s="104">
        <v>21</v>
      </c>
      <c r="F63" s="579">
        <v>10</v>
      </c>
      <c r="G63" s="104">
        <v>25</v>
      </c>
      <c r="H63" s="104">
        <v>25</v>
      </c>
      <c r="I63" s="104">
        <v>25</v>
      </c>
      <c r="J63" s="99">
        <f t="shared" ref="J63:J65" si="64">95705.64+37007.42</f>
        <v>132713.06</v>
      </c>
      <c r="K63" s="98">
        <f>32326.86+17492.53</f>
        <v>49819.39</v>
      </c>
      <c r="L63" s="101">
        <v>72362.48</v>
      </c>
      <c r="M63" s="98">
        <f t="shared" ref="M63" si="65">J63+K63+L63</f>
        <v>254894.93</v>
      </c>
      <c r="N63" s="98">
        <f t="shared" si="57"/>
        <v>3317826.5</v>
      </c>
      <c r="O63" s="98">
        <f>G63*K63</f>
        <v>1245484.75</v>
      </c>
      <c r="P63" s="109"/>
      <c r="Q63" s="99">
        <f t="shared" ref="Q63" si="66">G63*L63</f>
        <v>1809062</v>
      </c>
      <c r="R63" s="99"/>
      <c r="S63" s="99"/>
      <c r="T63" s="98">
        <f t="shared" si="58"/>
        <v>6372373.25</v>
      </c>
      <c r="U63" s="98">
        <f t="shared" ref="U63" si="67">T63</f>
        <v>6372373.25</v>
      </c>
      <c r="V63" s="98">
        <f t="shared" ref="V63" si="68">U63</f>
        <v>6372373.25</v>
      </c>
    </row>
    <row r="64" spans="1:32" ht="25.95" customHeight="1" x14ac:dyDescent="0.25">
      <c r="A64" s="377" t="s">
        <v>510</v>
      </c>
      <c r="B64" s="373" t="s">
        <v>340</v>
      </c>
      <c r="C64" s="903"/>
      <c r="D64" s="629" t="s">
        <v>130</v>
      </c>
      <c r="E64" s="104">
        <v>2</v>
      </c>
      <c r="F64" s="579">
        <v>2</v>
      </c>
      <c r="G64" s="113">
        <v>1</v>
      </c>
      <c r="H64" s="104">
        <f>2-1</f>
        <v>1</v>
      </c>
      <c r="I64" s="104">
        <f>2-1</f>
        <v>1</v>
      </c>
      <c r="J64" s="99">
        <v>132713.06</v>
      </c>
      <c r="K64" s="375">
        <f>32326.86+17492.53*1</f>
        <v>49819.39</v>
      </c>
      <c r="L64" s="101">
        <v>72362.48</v>
      </c>
      <c r="M64" s="98">
        <f t="shared" si="8"/>
        <v>254894.93</v>
      </c>
      <c r="N64" s="98">
        <f t="shared" si="57"/>
        <v>132713.06</v>
      </c>
      <c r="O64" s="98">
        <f>G64*K64</f>
        <v>49819.39</v>
      </c>
      <c r="P64" s="109"/>
      <c r="Q64" s="99">
        <f t="shared" si="63"/>
        <v>72362.48</v>
      </c>
      <c r="R64" s="99"/>
      <c r="S64" s="99"/>
      <c r="T64" s="98">
        <f t="shared" si="58"/>
        <v>254894.93</v>
      </c>
      <c r="U64" s="98">
        <f t="shared" si="61"/>
        <v>254894.93</v>
      </c>
      <c r="V64" s="98">
        <f t="shared" si="61"/>
        <v>254894.93</v>
      </c>
    </row>
    <row r="65" spans="1:138" ht="24" customHeight="1" x14ac:dyDescent="0.25">
      <c r="A65" s="97"/>
      <c r="B65" s="97" t="s">
        <v>330</v>
      </c>
      <c r="C65" s="884"/>
      <c r="D65" s="629" t="s">
        <v>130</v>
      </c>
      <c r="E65" s="104">
        <f>58+1-5</f>
        <v>54</v>
      </c>
      <c r="F65" s="579">
        <v>46</v>
      </c>
      <c r="G65" s="113">
        <v>46</v>
      </c>
      <c r="H65" s="104">
        <f>53-7</f>
        <v>46</v>
      </c>
      <c r="I65" s="104">
        <f>53-7</f>
        <v>46</v>
      </c>
      <c r="J65" s="99">
        <f t="shared" si="64"/>
        <v>132713.06</v>
      </c>
      <c r="K65" s="98">
        <f>32326.86+17492.53</f>
        <v>49819.39</v>
      </c>
      <c r="L65" s="101">
        <v>72362.48</v>
      </c>
      <c r="M65" s="98">
        <f t="shared" si="8"/>
        <v>254894.93</v>
      </c>
      <c r="N65" s="98">
        <f t="shared" si="57"/>
        <v>6104800.7599999998</v>
      </c>
      <c r="O65" s="98">
        <f>G65*K65-52477.59</f>
        <v>2239214.35</v>
      </c>
      <c r="P65" s="109"/>
      <c r="Q65" s="99">
        <f>G65*L65</f>
        <v>3328674.08</v>
      </c>
      <c r="R65" s="99"/>
      <c r="S65" s="99"/>
      <c r="T65" s="98">
        <f t="shared" si="58"/>
        <v>11672689.189999999</v>
      </c>
      <c r="U65" s="98">
        <f t="shared" si="61"/>
        <v>11672689.189999999</v>
      </c>
      <c r="V65" s="98">
        <f t="shared" si="61"/>
        <v>11672689.189999999</v>
      </c>
    </row>
    <row r="66" spans="1:138" ht="28.95" hidden="1" customHeight="1" x14ac:dyDescent="0.25">
      <c r="A66" s="97"/>
      <c r="B66" s="87" t="s">
        <v>138</v>
      </c>
      <c r="C66" s="97" t="s">
        <v>44</v>
      </c>
      <c r="D66" s="629"/>
      <c r="E66" s="104"/>
      <c r="F66" s="104"/>
      <c r="G66" s="104"/>
      <c r="H66" s="104"/>
      <c r="I66" s="104"/>
      <c r="J66" s="99"/>
      <c r="K66" s="98">
        <f t="shared" si="54"/>
        <v>25908.22</v>
      </c>
      <c r="L66" s="99">
        <v>0</v>
      </c>
      <c r="M66" s="98">
        <v>0</v>
      </c>
      <c r="N66" s="109"/>
      <c r="O66" s="98"/>
      <c r="P66" s="109"/>
      <c r="Q66" s="99"/>
      <c r="R66" s="99"/>
      <c r="S66" s="99"/>
      <c r="T66" s="98">
        <f>N66</f>
        <v>0</v>
      </c>
      <c r="U66" s="98">
        <f t="shared" si="61"/>
        <v>0</v>
      </c>
      <c r="V66" s="98">
        <f t="shared" si="61"/>
        <v>0</v>
      </c>
    </row>
    <row r="67" spans="1:138" ht="31.2" hidden="1" customHeight="1" x14ac:dyDescent="0.25">
      <c r="A67" s="97"/>
      <c r="B67" s="87" t="s">
        <v>139</v>
      </c>
      <c r="C67" s="97"/>
      <c r="D67" s="629"/>
      <c r="E67" s="104"/>
      <c r="F67" s="104"/>
      <c r="G67" s="104"/>
      <c r="H67" s="104"/>
      <c r="I67" s="104"/>
      <c r="J67" s="99"/>
      <c r="K67" s="98">
        <f t="shared" si="54"/>
        <v>25908.22</v>
      </c>
      <c r="L67" s="99">
        <v>0</v>
      </c>
      <c r="M67" s="98">
        <v>0</v>
      </c>
      <c r="N67" s="109"/>
      <c r="O67" s="98"/>
      <c r="P67" s="109"/>
      <c r="Q67" s="99"/>
      <c r="R67" s="99"/>
      <c r="S67" s="99"/>
      <c r="T67" s="98">
        <f>O67</f>
        <v>0</v>
      </c>
      <c r="U67" s="98">
        <f t="shared" si="61"/>
        <v>0</v>
      </c>
      <c r="V67" s="98">
        <f t="shared" si="61"/>
        <v>0</v>
      </c>
    </row>
    <row r="68" spans="1:138" ht="66" customHeight="1" x14ac:dyDescent="0.25">
      <c r="A68" s="92" t="s">
        <v>132</v>
      </c>
      <c r="B68" s="97" t="s">
        <v>133</v>
      </c>
      <c r="C68" s="97" t="s">
        <v>54</v>
      </c>
      <c r="D68" s="629" t="s">
        <v>130</v>
      </c>
      <c r="E68" s="104">
        <f>SUM(E59:E67)</f>
        <v>98</v>
      </c>
      <c r="F68" s="673">
        <f>SUM(F59:F67)</f>
        <v>87</v>
      </c>
      <c r="G68" s="113">
        <f>G61+G62+G64+G65+G63+G59+G60</f>
        <v>86</v>
      </c>
      <c r="H68" s="113">
        <f>SUM(H59:H67)</f>
        <v>86</v>
      </c>
      <c r="I68" s="113">
        <f>SUM(I59:I67)</f>
        <v>86</v>
      </c>
      <c r="J68" s="99">
        <v>0</v>
      </c>
      <c r="K68" s="98">
        <v>0</v>
      </c>
      <c r="L68" s="101">
        <f>61511.06</f>
        <v>61511.06</v>
      </c>
      <c r="M68" s="98">
        <f>J68+K68+L68</f>
        <v>61511.06</v>
      </c>
      <c r="N68" s="98">
        <f>G68*J68</f>
        <v>0</v>
      </c>
      <c r="O68" s="98">
        <f>G68*K68</f>
        <v>0</v>
      </c>
      <c r="P68" s="109"/>
      <c r="Q68" s="811">
        <f>G68*L68</f>
        <v>5289951.16</v>
      </c>
      <c r="R68" s="99"/>
      <c r="S68" s="99"/>
      <c r="T68" s="102">
        <f>SUM(N68:Q68)</f>
        <v>5289951.16</v>
      </c>
      <c r="U68" s="98">
        <f>H68*L68</f>
        <v>5289951.16</v>
      </c>
      <c r="V68" s="98">
        <f>I68*L68</f>
        <v>5289951.16</v>
      </c>
    </row>
    <row r="69" spans="1:138" ht="27" customHeight="1" x14ac:dyDescent="0.25">
      <c r="A69" s="483" t="s">
        <v>573</v>
      </c>
      <c r="B69" s="97" t="s">
        <v>133</v>
      </c>
      <c r="C69" s="97" t="s">
        <v>134</v>
      </c>
      <c r="D69" s="629"/>
      <c r="E69" s="109"/>
      <c r="F69" s="104"/>
      <c r="G69" s="113">
        <f>G68</f>
        <v>86</v>
      </c>
      <c r="H69" s="113">
        <f>H68</f>
        <v>86</v>
      </c>
      <c r="I69" s="113">
        <f>I68</f>
        <v>86</v>
      </c>
      <c r="J69" s="99"/>
      <c r="K69" s="98"/>
      <c r="L69" s="101">
        <v>20437.68</v>
      </c>
      <c r="M69" s="98">
        <f t="shared" si="8"/>
        <v>20437.68</v>
      </c>
      <c r="N69" s="109"/>
      <c r="O69" s="98"/>
      <c r="P69" s="109"/>
      <c r="Q69" s="99"/>
      <c r="R69" s="99"/>
      <c r="S69" s="811">
        <f>G69*L69</f>
        <v>1757640.48</v>
      </c>
      <c r="T69" s="102">
        <f>S69</f>
        <v>1757640.48</v>
      </c>
      <c r="U69" s="98">
        <f>H69*L69</f>
        <v>1757640.48</v>
      </c>
      <c r="V69" s="98">
        <f>I69*M69</f>
        <v>1757640.48</v>
      </c>
    </row>
    <row r="70" spans="1:138" ht="26.4" customHeight="1" x14ac:dyDescent="0.25">
      <c r="A70" s="96" t="s">
        <v>143</v>
      </c>
      <c r="B70" s="96"/>
      <c r="C70" s="96"/>
      <c r="D70" s="111"/>
      <c r="E70" s="112"/>
      <c r="F70" s="113"/>
      <c r="G70" s="113"/>
      <c r="H70" s="112"/>
      <c r="I70" s="112"/>
      <c r="J70" s="101"/>
      <c r="K70" s="98"/>
      <c r="L70" s="101"/>
      <c r="M70" s="98">
        <f t="shared" si="8"/>
        <v>0</v>
      </c>
      <c r="N70" s="107">
        <f>N71+N86</f>
        <v>16076621.369999999</v>
      </c>
      <c r="O70" s="101">
        <f>O71</f>
        <v>6072308.0300000003</v>
      </c>
      <c r="P70" s="101"/>
      <c r="Q70" s="804">
        <f>Q71+Q83</f>
        <v>14190595.24</v>
      </c>
      <c r="R70" s="101"/>
      <c r="S70" s="101">
        <f>S84</f>
        <v>2166394.08</v>
      </c>
      <c r="T70" s="107">
        <f>T71+T83+T84+T86</f>
        <v>38505918.719999999</v>
      </c>
      <c r="U70" s="102">
        <f>U71+U83+U84+U86</f>
        <v>38260233.119999997</v>
      </c>
      <c r="V70" s="102">
        <f>V71+V83+V84+V86</f>
        <v>38260233.119999997</v>
      </c>
      <c r="W70" s="83">
        <v>10602392.789999999</v>
      </c>
      <c r="X70" s="93">
        <f>W70-Q70</f>
        <v>-3588202.45</v>
      </c>
      <c r="Y70" s="103">
        <f>X70/G83</f>
        <v>-33850.966508999998</v>
      </c>
      <c r="AA70" s="83">
        <v>11530755.789999999</v>
      </c>
      <c r="AB70" s="93">
        <f>AA70-Q70</f>
        <v>-2659839.4500000002</v>
      </c>
      <c r="AC70" s="83">
        <f>AB70/I83</f>
        <v>-25092.825000000001</v>
      </c>
    </row>
    <row r="71" spans="1:138" ht="73.2" customHeight="1" x14ac:dyDescent="0.25">
      <c r="A71" s="92" t="s">
        <v>127</v>
      </c>
      <c r="B71" s="87" t="s">
        <v>128</v>
      </c>
      <c r="C71" s="87"/>
      <c r="D71" s="629"/>
      <c r="E71" s="109"/>
      <c r="F71" s="104"/>
      <c r="G71" s="104"/>
      <c r="H71" s="109"/>
      <c r="I71" s="109"/>
      <c r="J71" s="99"/>
      <c r="K71" s="98"/>
      <c r="L71" s="99"/>
      <c r="M71" s="98"/>
      <c r="N71" s="98">
        <f>SUM(N72:N82)</f>
        <v>15830935.77</v>
      </c>
      <c r="O71" s="98">
        <f>SUM(O72:O82)</f>
        <v>6072308.0300000003</v>
      </c>
      <c r="P71" s="109"/>
      <c r="Q71" s="101">
        <f>SUM(Q72:Q82)</f>
        <v>7670422.8799999999</v>
      </c>
      <c r="R71" s="99"/>
      <c r="S71" s="99"/>
      <c r="T71" s="102">
        <f>SUM(T72:T82)</f>
        <v>29573666.68</v>
      </c>
      <c r="U71" s="98">
        <f>SUM(U72:U82)</f>
        <v>29573666.68</v>
      </c>
      <c r="V71" s="98">
        <f>SUM(V72:V82)</f>
        <v>29573666.68</v>
      </c>
      <c r="W71" s="93">
        <v>23072309.280000001</v>
      </c>
      <c r="AA71" s="93">
        <f>23072309.28+U84</f>
        <v>25238703.359999999</v>
      </c>
      <c r="AB71" s="93">
        <f>U70-AA71</f>
        <v>13021529.76</v>
      </c>
    </row>
    <row r="72" spans="1:138" ht="48" customHeight="1" x14ac:dyDescent="0.25">
      <c r="A72" s="92"/>
      <c r="B72" s="97" t="s">
        <v>129</v>
      </c>
      <c r="C72" s="872" t="s">
        <v>604</v>
      </c>
      <c r="D72" s="629" t="s">
        <v>130</v>
      </c>
      <c r="E72" s="104">
        <v>17</v>
      </c>
      <c r="F72" s="579">
        <v>20</v>
      </c>
      <c r="G72" s="104">
        <f>20+2</f>
        <v>22</v>
      </c>
      <c r="H72" s="104">
        <f>20+2</f>
        <v>22</v>
      </c>
      <c r="I72" s="104">
        <f>20+2</f>
        <v>22</v>
      </c>
      <c r="J72" s="99">
        <v>86493.99</v>
      </c>
      <c r="K72" s="98">
        <f>43062.49+13925.43</f>
        <v>56987.92</v>
      </c>
      <c r="L72" s="101">
        <v>72362.48</v>
      </c>
      <c r="M72" s="98">
        <f t="shared" si="8"/>
        <v>215844.39</v>
      </c>
      <c r="N72" s="98">
        <f t="shared" ref="N72:N82" si="69">G72*J72</f>
        <v>1902867.78</v>
      </c>
      <c r="O72" s="99">
        <f t="shared" ref="O72:O82" si="70">G72*K72</f>
        <v>1253734.24</v>
      </c>
      <c r="P72" s="109"/>
      <c r="Q72" s="99">
        <f>G72*L72</f>
        <v>1591974.56</v>
      </c>
      <c r="R72" s="99"/>
      <c r="S72" s="99"/>
      <c r="T72" s="98">
        <f t="shared" ref="T72:T77" si="71">SUM(N72:Q72)</f>
        <v>4748576.58</v>
      </c>
      <c r="U72" s="98">
        <f t="shared" ref="U72:V82" si="72">T72</f>
        <v>4748576.58</v>
      </c>
      <c r="V72" s="98">
        <f t="shared" si="72"/>
        <v>4748576.58</v>
      </c>
      <c r="X72" s="93">
        <f>W71-U70</f>
        <v>-15187923.84</v>
      </c>
    </row>
    <row r="73" spans="1:138" ht="51" customHeight="1" x14ac:dyDescent="0.25">
      <c r="A73" s="92"/>
      <c r="B73" s="97" t="s">
        <v>330</v>
      </c>
      <c r="C73" s="873"/>
      <c r="D73" s="629" t="s">
        <v>130</v>
      </c>
      <c r="E73" s="104">
        <v>4</v>
      </c>
      <c r="F73" s="579">
        <v>2</v>
      </c>
      <c r="G73" s="104">
        <v>1</v>
      </c>
      <c r="H73" s="104">
        <v>1</v>
      </c>
      <c r="I73" s="104">
        <v>1</v>
      </c>
      <c r="J73" s="99">
        <v>86493.99</v>
      </c>
      <c r="K73" s="98">
        <f>43062.49+13925.43</f>
        <v>56987.92</v>
      </c>
      <c r="L73" s="101">
        <v>72362.48</v>
      </c>
      <c r="M73" s="98">
        <f t="shared" ref="M73" si="73">J73+K73+L73</f>
        <v>215844.39</v>
      </c>
      <c r="N73" s="98">
        <f t="shared" ref="N73" si="74">G73*J73</f>
        <v>86493.99</v>
      </c>
      <c r="O73" s="99">
        <f t="shared" ref="O73" si="75">G73*K73</f>
        <v>56987.92</v>
      </c>
      <c r="P73" s="109"/>
      <c r="Q73" s="99">
        <f>G73*L73</f>
        <v>72362.48</v>
      </c>
      <c r="R73" s="99"/>
      <c r="S73" s="99"/>
      <c r="T73" s="98">
        <f t="shared" ref="T73" si="76">SUM(N73:Q73)</f>
        <v>215844.39</v>
      </c>
      <c r="U73" s="98">
        <f t="shared" ref="U73" si="77">T73</f>
        <v>215844.39</v>
      </c>
      <c r="V73" s="98">
        <f t="shared" ref="V73" si="78">U73</f>
        <v>215844.39</v>
      </c>
      <c r="X73" s="93"/>
    </row>
    <row r="74" spans="1:138" ht="108.6" customHeight="1" x14ac:dyDescent="0.25">
      <c r="A74" s="97"/>
      <c r="B74" s="97" t="s">
        <v>332</v>
      </c>
      <c r="C74" s="92" t="s">
        <v>445</v>
      </c>
      <c r="D74" s="629" t="s">
        <v>130</v>
      </c>
      <c r="E74" s="104">
        <v>27</v>
      </c>
      <c r="F74" s="579">
        <v>20</v>
      </c>
      <c r="G74" s="104">
        <f>25-5</f>
        <v>20</v>
      </c>
      <c r="H74" s="104">
        <f>27-7</f>
        <v>20</v>
      </c>
      <c r="I74" s="104">
        <f>27-7</f>
        <v>20</v>
      </c>
      <c r="J74" s="99">
        <v>245948.56</v>
      </c>
      <c r="K74" s="98">
        <f>64533.72+13925.43*2</f>
        <v>92384.58</v>
      </c>
      <c r="L74" s="101">
        <v>72362.48</v>
      </c>
      <c r="M74" s="98">
        <f t="shared" si="8"/>
        <v>410695.62</v>
      </c>
      <c r="N74" s="98">
        <f>G74*J74</f>
        <v>4918971.2</v>
      </c>
      <c r="O74" s="99">
        <f>G74*K74</f>
        <v>1847691.6</v>
      </c>
      <c r="P74" s="109"/>
      <c r="Q74" s="99">
        <f>G74*L74</f>
        <v>1447249.6</v>
      </c>
      <c r="R74" s="99"/>
      <c r="S74" s="99"/>
      <c r="T74" s="98">
        <f t="shared" si="71"/>
        <v>8213912.4000000004</v>
      </c>
      <c r="U74" s="98">
        <f t="shared" si="72"/>
        <v>8213912.4000000004</v>
      </c>
      <c r="V74" s="98">
        <f t="shared" si="72"/>
        <v>8213912.4000000004</v>
      </c>
    </row>
    <row r="75" spans="1:138" ht="33" customHeight="1" x14ac:dyDescent="0.25">
      <c r="A75" s="480" t="s">
        <v>550</v>
      </c>
      <c r="B75" s="97" t="s">
        <v>332</v>
      </c>
      <c r="C75" s="881" t="s">
        <v>444</v>
      </c>
      <c r="D75" s="629" t="s">
        <v>130</v>
      </c>
      <c r="E75" s="104">
        <v>1</v>
      </c>
      <c r="F75" s="579">
        <f>1</f>
        <v>1</v>
      </c>
      <c r="G75" s="113">
        <v>1</v>
      </c>
      <c r="H75" s="113">
        <v>1</v>
      </c>
      <c r="I75" s="113">
        <v>1</v>
      </c>
      <c r="J75" s="99">
        <v>132713.06</v>
      </c>
      <c r="K75" s="98">
        <f>32326.86+13925.43</f>
        <v>46252.29</v>
      </c>
      <c r="L75" s="101">
        <v>72362.48</v>
      </c>
      <c r="M75" s="98">
        <f t="shared" si="8"/>
        <v>251327.83</v>
      </c>
      <c r="N75" s="98">
        <f t="shared" si="69"/>
        <v>132713.06</v>
      </c>
      <c r="O75" s="99">
        <f t="shared" si="70"/>
        <v>46252.29</v>
      </c>
      <c r="P75" s="109"/>
      <c r="Q75" s="99">
        <f t="shared" ref="Q75:Q76" si="79">G75*L75</f>
        <v>72362.48</v>
      </c>
      <c r="R75" s="99"/>
      <c r="S75" s="99"/>
      <c r="T75" s="98">
        <f t="shared" si="71"/>
        <v>251327.83</v>
      </c>
      <c r="U75" s="98">
        <f t="shared" si="72"/>
        <v>251327.83</v>
      </c>
      <c r="V75" s="98">
        <f t="shared" si="72"/>
        <v>251327.83</v>
      </c>
    </row>
    <row r="76" spans="1:138" ht="42.6" customHeight="1" x14ac:dyDescent="0.25">
      <c r="A76" s="92"/>
      <c r="B76" s="97" t="s">
        <v>332</v>
      </c>
      <c r="C76" s="882"/>
      <c r="D76" s="629" t="s">
        <v>130</v>
      </c>
      <c r="E76" s="104">
        <v>11</v>
      </c>
      <c r="F76" s="579">
        <v>10</v>
      </c>
      <c r="G76" s="104">
        <f>11-1</f>
        <v>10</v>
      </c>
      <c r="H76" s="104">
        <f>10</f>
        <v>10</v>
      </c>
      <c r="I76" s="104">
        <f>10</f>
        <v>10</v>
      </c>
      <c r="J76" s="99">
        <v>132713.06</v>
      </c>
      <c r="K76" s="98">
        <f t="shared" ref="K76:K77" si="80">32326.86+13925.43</f>
        <v>46252.29</v>
      </c>
      <c r="L76" s="101">
        <v>72362.48</v>
      </c>
      <c r="M76" s="98">
        <f t="shared" si="8"/>
        <v>251327.83</v>
      </c>
      <c r="N76" s="98">
        <f t="shared" si="69"/>
        <v>1327130.6000000001</v>
      </c>
      <c r="O76" s="99">
        <f t="shared" si="70"/>
        <v>462522.9</v>
      </c>
      <c r="P76" s="109"/>
      <c r="Q76" s="99">
        <f t="shared" si="79"/>
        <v>723624.8</v>
      </c>
      <c r="R76" s="99"/>
      <c r="S76" s="99"/>
      <c r="T76" s="98">
        <f t="shared" si="71"/>
        <v>2513278.2999999998</v>
      </c>
      <c r="U76" s="98">
        <f t="shared" si="72"/>
        <v>2513278.2999999998</v>
      </c>
      <c r="V76" s="98">
        <f t="shared" si="72"/>
        <v>2513278.2999999998</v>
      </c>
    </row>
    <row r="77" spans="1:138" ht="46.2" customHeight="1" x14ac:dyDescent="0.25">
      <c r="A77" s="97"/>
      <c r="B77" s="97" t="s">
        <v>330</v>
      </c>
      <c r="C77" s="883"/>
      <c r="D77" s="629" t="s">
        <v>130</v>
      </c>
      <c r="E77" s="104">
        <v>48</v>
      </c>
      <c r="F77" s="579">
        <v>50</v>
      </c>
      <c r="G77" s="104">
        <v>52</v>
      </c>
      <c r="H77" s="104">
        <v>52</v>
      </c>
      <c r="I77" s="104">
        <v>52</v>
      </c>
      <c r="J77" s="99">
        <v>132713.06</v>
      </c>
      <c r="K77" s="98">
        <f t="shared" si="80"/>
        <v>46252.29</v>
      </c>
      <c r="L77" s="101">
        <v>72362.48</v>
      </c>
      <c r="M77" s="98">
        <f t="shared" si="8"/>
        <v>251327.83</v>
      </c>
      <c r="N77" s="98">
        <f t="shared" si="69"/>
        <v>6901079.1200000001</v>
      </c>
      <c r="O77" s="101">
        <f t="shared" si="70"/>
        <v>2405119.08</v>
      </c>
      <c r="P77" s="109"/>
      <c r="Q77" s="99">
        <f>G77*L77</f>
        <v>3762848.96</v>
      </c>
      <c r="R77" s="99"/>
      <c r="S77" s="99"/>
      <c r="T77" s="98">
        <f t="shared" si="71"/>
        <v>13069047.16</v>
      </c>
      <c r="U77" s="98">
        <f t="shared" si="72"/>
        <v>13069047.16</v>
      </c>
      <c r="V77" s="98">
        <f t="shared" si="72"/>
        <v>13069047.16</v>
      </c>
      <c r="W77" s="93">
        <f>T77-U77</f>
        <v>0</v>
      </c>
    </row>
    <row r="78" spans="1:138" s="376" customFormat="1" ht="95.4" customHeight="1" x14ac:dyDescent="0.25">
      <c r="A78" s="373"/>
      <c r="B78" s="373" t="s">
        <v>332</v>
      </c>
      <c r="C78" s="647" t="s">
        <v>446</v>
      </c>
      <c r="D78" s="373" t="s">
        <v>130</v>
      </c>
      <c r="E78" s="374">
        <v>27</v>
      </c>
      <c r="F78" s="675">
        <v>20</v>
      </c>
      <c r="G78" s="374">
        <f>20</f>
        <v>20</v>
      </c>
      <c r="H78" s="374">
        <f>20</f>
        <v>20</v>
      </c>
      <c r="I78" s="374">
        <f>20</f>
        <v>20</v>
      </c>
      <c r="J78" s="375">
        <v>7263.1</v>
      </c>
      <c r="K78" s="375">
        <v>0</v>
      </c>
      <c r="L78" s="375">
        <v>0</v>
      </c>
      <c r="M78" s="375">
        <f t="shared" si="8"/>
        <v>7263.1</v>
      </c>
      <c r="N78" s="375">
        <f t="shared" si="69"/>
        <v>145262</v>
      </c>
      <c r="O78" s="375">
        <f t="shared" si="70"/>
        <v>0</v>
      </c>
      <c r="P78" s="374"/>
      <c r="Q78" s="375">
        <f>G78*L78</f>
        <v>0</v>
      </c>
      <c r="R78" s="375"/>
      <c r="S78" s="375"/>
      <c r="T78" s="375">
        <f>N78</f>
        <v>145262</v>
      </c>
      <c r="U78" s="375">
        <f t="shared" si="72"/>
        <v>145262</v>
      </c>
      <c r="V78" s="375">
        <f t="shared" si="72"/>
        <v>145262</v>
      </c>
      <c r="W78" s="630"/>
      <c r="AD78" s="83"/>
      <c r="AE78" s="83"/>
      <c r="AF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3"/>
      <c r="BH78" s="83"/>
      <c r="BI78" s="83"/>
      <c r="BJ78" s="83"/>
      <c r="BK78" s="83"/>
      <c r="BL78" s="83"/>
      <c r="BM78" s="83"/>
      <c r="BN78" s="83"/>
      <c r="BO78" s="83"/>
      <c r="BP78" s="83"/>
      <c r="BQ78" s="83"/>
      <c r="BR78" s="83"/>
      <c r="BS78" s="83"/>
      <c r="BT78" s="83"/>
      <c r="BU78" s="83"/>
      <c r="BV78" s="83"/>
      <c r="BW78" s="83"/>
      <c r="BX78" s="83"/>
      <c r="BY78" s="83"/>
      <c r="BZ78" s="83"/>
      <c r="CA78" s="83"/>
      <c r="CB78" s="83"/>
      <c r="CC78" s="83"/>
      <c r="CD78" s="83"/>
      <c r="CE78" s="83"/>
      <c r="CF78" s="83"/>
      <c r="CG78" s="83"/>
      <c r="CH78" s="83"/>
      <c r="CI78" s="83"/>
      <c r="CJ78" s="83"/>
      <c r="CK78" s="83"/>
      <c r="CL78" s="83"/>
      <c r="CM78" s="83"/>
      <c r="CN78" s="83"/>
      <c r="CO78" s="83"/>
      <c r="CP78" s="83"/>
      <c r="CQ78" s="83"/>
      <c r="CR78" s="83"/>
      <c r="CS78" s="83"/>
      <c r="CT78" s="83"/>
      <c r="CU78" s="83"/>
      <c r="CV78" s="83"/>
      <c r="CW78" s="83"/>
      <c r="CX78" s="83"/>
      <c r="CY78" s="83"/>
      <c r="CZ78" s="83"/>
      <c r="DA78" s="83"/>
      <c r="DB78" s="83"/>
      <c r="DC78" s="83"/>
      <c r="DD78" s="83"/>
      <c r="DE78" s="83"/>
      <c r="DF78" s="83"/>
      <c r="DG78" s="83"/>
      <c r="DH78" s="83"/>
      <c r="DI78" s="83"/>
      <c r="DJ78" s="83"/>
      <c r="DK78" s="83"/>
      <c r="DL78" s="83"/>
      <c r="DM78" s="83"/>
      <c r="DN78" s="83"/>
      <c r="DO78" s="83"/>
      <c r="DP78" s="83"/>
      <c r="DQ78" s="83"/>
      <c r="DR78" s="83"/>
      <c r="DS78" s="83"/>
      <c r="DT78" s="83"/>
      <c r="DU78" s="83"/>
      <c r="DV78" s="83"/>
      <c r="DW78" s="83"/>
      <c r="DX78" s="83"/>
      <c r="DY78" s="83"/>
      <c r="DZ78" s="83"/>
      <c r="EA78" s="83"/>
      <c r="EB78" s="83"/>
      <c r="EC78" s="83"/>
      <c r="ED78" s="83"/>
      <c r="EE78" s="83"/>
      <c r="EF78" s="83"/>
      <c r="EG78" s="83"/>
      <c r="EH78" s="83"/>
    </row>
    <row r="79" spans="1:138" ht="66.599999999999994" customHeight="1" x14ac:dyDescent="0.25">
      <c r="A79" s="373"/>
      <c r="B79" s="373" t="s">
        <v>332</v>
      </c>
      <c r="C79" s="899" t="s">
        <v>447</v>
      </c>
      <c r="D79" s="373" t="s">
        <v>130</v>
      </c>
      <c r="E79" s="374">
        <v>12</v>
      </c>
      <c r="F79" s="675">
        <f>12-3</f>
        <v>9</v>
      </c>
      <c r="G79" s="374">
        <f>11-1</f>
        <v>10</v>
      </c>
      <c r="H79" s="374">
        <f>12-2</f>
        <v>10</v>
      </c>
      <c r="I79" s="374">
        <f>12-2</f>
        <v>10</v>
      </c>
      <c r="J79" s="375">
        <v>4842.07</v>
      </c>
      <c r="K79" s="375">
        <v>0</v>
      </c>
      <c r="L79" s="375">
        <v>0</v>
      </c>
      <c r="M79" s="375">
        <f t="shared" si="8"/>
        <v>4842.07</v>
      </c>
      <c r="N79" s="375">
        <f t="shared" si="69"/>
        <v>48420.7</v>
      </c>
      <c r="O79" s="375">
        <f t="shared" si="70"/>
        <v>0</v>
      </c>
      <c r="P79" s="374"/>
      <c r="Q79" s="375">
        <f>G79*L79</f>
        <v>0</v>
      </c>
      <c r="R79" s="375"/>
      <c r="S79" s="375"/>
      <c r="T79" s="375">
        <f>N79</f>
        <v>48420.7</v>
      </c>
      <c r="U79" s="375">
        <f t="shared" si="72"/>
        <v>48420.7</v>
      </c>
      <c r="V79" s="375">
        <f t="shared" si="72"/>
        <v>48420.7</v>
      </c>
    </row>
    <row r="80" spans="1:138" ht="27" customHeight="1" x14ac:dyDescent="0.25">
      <c r="A80" s="373"/>
      <c r="B80" s="373" t="s">
        <v>335</v>
      </c>
      <c r="C80" s="900"/>
      <c r="D80" s="373" t="s">
        <v>130</v>
      </c>
      <c r="E80" s="374">
        <v>48</v>
      </c>
      <c r="F80" s="675">
        <v>52</v>
      </c>
      <c r="G80" s="374">
        <f>50+3</f>
        <v>53</v>
      </c>
      <c r="H80" s="374">
        <f>48+2+3</f>
        <v>53</v>
      </c>
      <c r="I80" s="374">
        <f>48+2+3</f>
        <v>53</v>
      </c>
      <c r="J80" s="375">
        <v>4842.07</v>
      </c>
      <c r="K80" s="375">
        <v>0</v>
      </c>
      <c r="L80" s="375">
        <v>0</v>
      </c>
      <c r="M80" s="375">
        <f t="shared" si="8"/>
        <v>4842.07</v>
      </c>
      <c r="N80" s="375">
        <f t="shared" si="69"/>
        <v>256629.71</v>
      </c>
      <c r="O80" s="375">
        <f t="shared" si="70"/>
        <v>0</v>
      </c>
      <c r="P80" s="374"/>
      <c r="Q80" s="375">
        <f t="shared" ref="Q80:Q83" si="81">G80*L80</f>
        <v>0</v>
      </c>
      <c r="R80" s="375"/>
      <c r="S80" s="375"/>
      <c r="T80" s="375">
        <f>N80</f>
        <v>256629.71</v>
      </c>
      <c r="U80" s="375">
        <f t="shared" si="72"/>
        <v>256629.71</v>
      </c>
      <c r="V80" s="375">
        <f t="shared" si="72"/>
        <v>256629.71</v>
      </c>
    </row>
    <row r="81" spans="1:371" ht="27" customHeight="1" x14ac:dyDescent="0.25">
      <c r="A81" s="373"/>
      <c r="B81" s="373" t="s">
        <v>335</v>
      </c>
      <c r="C81" s="915" t="s">
        <v>296</v>
      </c>
      <c r="D81" s="373"/>
      <c r="E81" s="374">
        <v>4</v>
      </c>
      <c r="F81" s="675">
        <v>4</v>
      </c>
      <c r="G81" s="374">
        <v>5</v>
      </c>
      <c r="H81" s="374">
        <v>5</v>
      </c>
      <c r="I81" s="374">
        <v>5</v>
      </c>
      <c r="J81" s="375">
        <v>4842.07</v>
      </c>
      <c r="K81" s="375">
        <v>0</v>
      </c>
      <c r="L81" s="375">
        <v>0</v>
      </c>
      <c r="M81" s="375">
        <f t="shared" ref="M81" si="82">J81+K81+L81</f>
        <v>4842.07</v>
      </c>
      <c r="N81" s="375">
        <f t="shared" ref="N81" si="83">G81*J81</f>
        <v>24210.35</v>
      </c>
      <c r="O81" s="375">
        <f t="shared" ref="O81" si="84">G81*K81</f>
        <v>0</v>
      </c>
      <c r="P81" s="374"/>
      <c r="Q81" s="375">
        <f t="shared" ref="Q81" si="85">G81*L81</f>
        <v>0</v>
      </c>
      <c r="R81" s="375"/>
      <c r="S81" s="375"/>
      <c r="T81" s="375">
        <f>N81</f>
        <v>24210.35</v>
      </c>
      <c r="U81" s="375">
        <f t="shared" ref="U81" si="86">T81</f>
        <v>24210.35</v>
      </c>
      <c r="V81" s="375">
        <f t="shared" ref="V81" si="87">U81</f>
        <v>24210.35</v>
      </c>
    </row>
    <row r="82" spans="1:371" ht="49.95" customHeight="1" x14ac:dyDescent="0.25">
      <c r="A82" s="373"/>
      <c r="B82" s="373" t="s">
        <v>129</v>
      </c>
      <c r="C82" s="915"/>
      <c r="D82" s="373" t="s">
        <v>130</v>
      </c>
      <c r="E82" s="374">
        <v>17</v>
      </c>
      <c r="F82" s="675">
        <v>18</v>
      </c>
      <c r="G82" s="374">
        <v>18</v>
      </c>
      <c r="H82" s="374">
        <v>18</v>
      </c>
      <c r="I82" s="374">
        <v>18</v>
      </c>
      <c r="J82" s="375">
        <v>4842.07</v>
      </c>
      <c r="K82" s="375">
        <v>0</v>
      </c>
      <c r="L82" s="375">
        <v>0</v>
      </c>
      <c r="M82" s="375">
        <f t="shared" si="8"/>
        <v>4842.07</v>
      </c>
      <c r="N82" s="375">
        <f t="shared" si="69"/>
        <v>87157.26</v>
      </c>
      <c r="O82" s="375">
        <f t="shared" si="70"/>
        <v>0</v>
      </c>
      <c r="P82" s="374"/>
      <c r="Q82" s="375">
        <f t="shared" si="81"/>
        <v>0</v>
      </c>
      <c r="R82" s="375"/>
      <c r="S82" s="375"/>
      <c r="T82" s="375">
        <f>N82</f>
        <v>87157.26</v>
      </c>
      <c r="U82" s="375">
        <f t="shared" si="72"/>
        <v>87157.26</v>
      </c>
      <c r="V82" s="375">
        <f t="shared" si="72"/>
        <v>87157.26</v>
      </c>
    </row>
    <row r="83" spans="1:371" ht="59.4" customHeight="1" x14ac:dyDescent="0.25">
      <c r="A83" s="92" t="s">
        <v>132</v>
      </c>
      <c r="B83" s="97" t="s">
        <v>136</v>
      </c>
      <c r="C83" s="97" t="s">
        <v>54</v>
      </c>
      <c r="D83" s="629" t="s">
        <v>130</v>
      </c>
      <c r="E83" s="104">
        <f>E72+E74+E75+E77+E76+E73</f>
        <v>108</v>
      </c>
      <c r="F83" s="673">
        <f>F72+F73+F74+F75+F76+F77</f>
        <v>103</v>
      </c>
      <c r="G83" s="104">
        <f>G72+G73+G74+G75+G76+G77</f>
        <v>106</v>
      </c>
      <c r="H83" s="104">
        <f t="shared" ref="H83:I83" si="88">H72+H74+H75+H77+H76+H73</f>
        <v>106</v>
      </c>
      <c r="I83" s="104">
        <f t="shared" si="88"/>
        <v>106</v>
      </c>
      <c r="J83" s="99">
        <v>0</v>
      </c>
      <c r="K83" s="98">
        <v>0</v>
      </c>
      <c r="L83" s="101">
        <f>61511.06</f>
        <v>61511.06</v>
      </c>
      <c r="M83" s="98">
        <f>J83+K83+L83</f>
        <v>61511.06</v>
      </c>
      <c r="N83" s="117">
        <f>E83*J83</f>
        <v>0</v>
      </c>
      <c r="O83" s="99">
        <f>G83*K83</f>
        <v>0</v>
      </c>
      <c r="P83" s="109"/>
      <c r="Q83" s="107">
        <f t="shared" si="81"/>
        <v>6520172.3600000003</v>
      </c>
      <c r="R83" s="99"/>
      <c r="S83" s="99"/>
      <c r="T83" s="102">
        <f>SUM(N83:Q83)</f>
        <v>6520172.3600000003</v>
      </c>
      <c r="U83" s="98">
        <f>H83*L83</f>
        <v>6520172.3600000003</v>
      </c>
      <c r="V83" s="98">
        <f>I83*L83</f>
        <v>6520172.3600000003</v>
      </c>
    </row>
    <row r="84" spans="1:371" ht="21" customHeight="1" x14ac:dyDescent="0.25">
      <c r="A84" s="483" t="s">
        <v>513</v>
      </c>
      <c r="B84" s="97" t="s">
        <v>136</v>
      </c>
      <c r="C84" s="97" t="s">
        <v>134</v>
      </c>
      <c r="D84" s="629"/>
      <c r="E84" s="109"/>
      <c r="F84" s="104"/>
      <c r="G84" s="113">
        <f>G83</f>
        <v>106</v>
      </c>
      <c r="H84" s="113">
        <f>H83</f>
        <v>106</v>
      </c>
      <c r="I84" s="113">
        <f>I83</f>
        <v>106</v>
      </c>
      <c r="J84" s="99">
        <v>0</v>
      </c>
      <c r="K84" s="98">
        <v>0</v>
      </c>
      <c r="L84" s="101">
        <v>20437.68</v>
      </c>
      <c r="M84" s="98">
        <f t="shared" si="8"/>
        <v>20437.68</v>
      </c>
      <c r="N84" s="109"/>
      <c r="O84" s="98"/>
      <c r="P84" s="109"/>
      <c r="Q84" s="99"/>
      <c r="R84" s="99"/>
      <c r="S84" s="107">
        <f>G84*L84</f>
        <v>2166394.08</v>
      </c>
      <c r="T84" s="102">
        <f>S84</f>
        <v>2166394.08</v>
      </c>
      <c r="U84" s="98">
        <f>H84*L84</f>
        <v>2166394.08</v>
      </c>
      <c r="V84" s="98">
        <f>I84*L84</f>
        <v>2166394.08</v>
      </c>
    </row>
    <row r="85" spans="1:371" ht="28.95" customHeight="1" x14ac:dyDescent="0.25">
      <c r="A85" s="895" t="s">
        <v>631</v>
      </c>
      <c r="B85" s="897" t="s">
        <v>512</v>
      </c>
      <c r="C85" s="661"/>
      <c r="D85" s="734" t="s">
        <v>24</v>
      </c>
      <c r="E85" s="735"/>
      <c r="F85" s="735">
        <v>24</v>
      </c>
      <c r="G85" s="735">
        <v>24</v>
      </c>
      <c r="H85" s="735">
        <v>0</v>
      </c>
      <c r="I85" s="735">
        <v>0</v>
      </c>
      <c r="J85" s="738">
        <v>0</v>
      </c>
      <c r="K85" s="738"/>
      <c r="L85" s="739"/>
      <c r="M85" s="738">
        <f>J85+K85+L85</f>
        <v>0</v>
      </c>
      <c r="N85" s="738">
        <f>G85*J85</f>
        <v>0</v>
      </c>
      <c r="O85" s="738"/>
      <c r="P85" s="735"/>
      <c r="Q85" s="738"/>
      <c r="R85" s="738"/>
      <c r="S85" s="738"/>
      <c r="T85" s="738">
        <f>SUM(N85:Q85)</f>
        <v>0</v>
      </c>
      <c r="U85" s="738"/>
      <c r="V85" s="738"/>
    </row>
    <row r="86" spans="1:371" ht="25.95" customHeight="1" x14ac:dyDescent="0.25">
      <c r="A86" s="896"/>
      <c r="B86" s="898"/>
      <c r="C86" s="661" t="s">
        <v>633</v>
      </c>
      <c r="D86" s="741" t="s">
        <v>232</v>
      </c>
      <c r="E86" s="735">
        <v>0</v>
      </c>
      <c r="F86" s="735">
        <f>26*F85</f>
        <v>624</v>
      </c>
      <c r="G86" s="812">
        <f>15*2*G85</f>
        <v>720</v>
      </c>
      <c r="H86" s="735">
        <v>0</v>
      </c>
      <c r="I86" s="735">
        <v>0</v>
      </c>
      <c r="J86" s="739">
        <v>341.23</v>
      </c>
      <c r="K86" s="738"/>
      <c r="L86" s="739"/>
      <c r="M86" s="738">
        <f>J86+K86+L86</f>
        <v>341.23</v>
      </c>
      <c r="N86" s="739">
        <f>G86*J86-263.85+263.85</f>
        <v>245685.6</v>
      </c>
      <c r="O86" s="738">
        <v>0</v>
      </c>
      <c r="P86" s="735"/>
      <c r="Q86" s="738">
        <v>0</v>
      </c>
      <c r="R86" s="738"/>
      <c r="S86" s="738"/>
      <c r="T86" s="739">
        <f>SUM(N86:Q86)</f>
        <v>245685.6</v>
      </c>
      <c r="U86" s="738">
        <f>H86*J86</f>
        <v>0</v>
      </c>
      <c r="V86" s="738">
        <f>I86*J86</f>
        <v>0</v>
      </c>
    </row>
    <row r="87" spans="1:371" ht="21" customHeight="1" x14ac:dyDescent="0.25">
      <c r="A87" s="97"/>
      <c r="B87" s="97"/>
      <c r="C87" s="420" t="s">
        <v>38</v>
      </c>
      <c r="D87" s="629"/>
      <c r="E87" s="109"/>
      <c r="F87" s="104">
        <v>24</v>
      </c>
      <c r="G87" s="113">
        <f>G85</f>
        <v>24</v>
      </c>
      <c r="H87" s="104">
        <f>H85</f>
        <v>0</v>
      </c>
      <c r="I87" s="104">
        <f>I85</f>
        <v>0</v>
      </c>
      <c r="J87" s="99" t="s">
        <v>26</v>
      </c>
      <c r="K87" s="98" t="s">
        <v>26</v>
      </c>
      <c r="L87" s="101" t="s">
        <v>26</v>
      </c>
      <c r="M87" s="98"/>
      <c r="N87" s="109"/>
      <c r="O87" s="98"/>
      <c r="P87" s="109"/>
      <c r="Q87" s="99"/>
      <c r="R87" s="99"/>
      <c r="S87" s="99"/>
      <c r="T87" s="98"/>
      <c r="U87" s="98"/>
      <c r="V87" s="98"/>
    </row>
    <row r="88" spans="1:371" ht="25.95" customHeight="1" x14ac:dyDescent="0.25">
      <c r="A88" s="111" t="s">
        <v>145</v>
      </c>
      <c r="B88" s="96"/>
      <c r="C88" s="96"/>
      <c r="D88" s="111"/>
      <c r="E88" s="112"/>
      <c r="F88" s="113"/>
      <c r="G88" s="113"/>
      <c r="H88" s="112"/>
      <c r="I88" s="112"/>
      <c r="J88" s="101"/>
      <c r="K88" s="98"/>
      <c r="L88" s="101"/>
      <c r="M88" s="98">
        <f t="shared" si="8"/>
        <v>0</v>
      </c>
      <c r="N88" s="107">
        <f>N89+N102</f>
        <v>14614358.710000001</v>
      </c>
      <c r="O88" s="101">
        <f>O89</f>
        <v>5414687.7300000004</v>
      </c>
      <c r="P88" s="113"/>
      <c r="Q88" s="804">
        <f>Q89+Q99</f>
        <v>12985733.380000001</v>
      </c>
      <c r="R88" s="101"/>
      <c r="S88" s="101">
        <f>S100</f>
        <v>1982454.96</v>
      </c>
      <c r="T88" s="107">
        <f>T89+T99+T100+T102</f>
        <v>34997234.780000001</v>
      </c>
      <c r="U88" s="372">
        <f>U89+U99+U100+U102</f>
        <v>35062535.149999999</v>
      </c>
      <c r="V88" s="102">
        <f>V89+V99+V100+V102</f>
        <v>34767285.579999998</v>
      </c>
      <c r="W88" s="93">
        <v>6315385.3799999999</v>
      </c>
      <c r="X88" s="93">
        <f>W88-Q88</f>
        <v>-6670348</v>
      </c>
      <c r="Y88" s="83">
        <f>X88/G99</f>
        <v>-68766.474226804101</v>
      </c>
      <c r="AA88" s="83">
        <v>5964695.5300000003</v>
      </c>
      <c r="AB88" s="93">
        <f>AA88-Q88</f>
        <v>-7021037.8499999996</v>
      </c>
      <c r="AC88" s="83">
        <f>AB88/I99</f>
        <v>-72381.833505154602</v>
      </c>
    </row>
    <row r="89" spans="1:371" ht="72" customHeight="1" x14ac:dyDescent="0.25">
      <c r="A89" s="92" t="s">
        <v>127</v>
      </c>
      <c r="B89" s="87" t="s">
        <v>128</v>
      </c>
      <c r="C89" s="87"/>
      <c r="D89" s="629"/>
      <c r="E89" s="109"/>
      <c r="F89" s="104"/>
      <c r="G89" s="104"/>
      <c r="H89" s="109"/>
      <c r="I89" s="109"/>
      <c r="J89" s="99"/>
      <c r="K89" s="98"/>
      <c r="L89" s="99"/>
      <c r="M89" s="98"/>
      <c r="N89" s="98">
        <f>SUM(N90:N98)</f>
        <v>14384409.51</v>
      </c>
      <c r="O89" s="98">
        <f>SUM(O90:O98)</f>
        <v>5414687.7300000004</v>
      </c>
      <c r="P89" s="109"/>
      <c r="Q89" s="101">
        <f>SUM(Q90:Q98)</f>
        <v>7019160.5599999996</v>
      </c>
      <c r="R89" s="99"/>
      <c r="S89" s="99"/>
      <c r="T89" s="102">
        <f>SUM(T90:T98)</f>
        <v>26818257.800000001</v>
      </c>
      <c r="U89" s="98">
        <f>SUM(U90:U98)</f>
        <v>26818257.800000001</v>
      </c>
      <c r="V89" s="98">
        <f>SUM(V90:V98)</f>
        <v>26818257.800000001</v>
      </c>
      <c r="W89" s="93">
        <v>15874228.029999999</v>
      </c>
      <c r="AA89" s="93">
        <f>15874228.03+U100</f>
        <v>17856682.989999998</v>
      </c>
      <c r="AB89" s="93">
        <f>U88-AA89</f>
        <v>17205852.16</v>
      </c>
    </row>
    <row r="90" spans="1:371" ht="106.95" customHeight="1" x14ac:dyDescent="0.25">
      <c r="A90" s="92"/>
      <c r="B90" s="97" t="s">
        <v>129</v>
      </c>
      <c r="C90" s="92" t="s">
        <v>294</v>
      </c>
      <c r="D90" s="629" t="s">
        <v>130</v>
      </c>
      <c r="E90" s="104">
        <v>22</v>
      </c>
      <c r="F90" s="579">
        <f>22-7</f>
        <v>15</v>
      </c>
      <c r="G90" s="104">
        <v>15</v>
      </c>
      <c r="H90" s="104">
        <v>15</v>
      </c>
      <c r="I90" s="104">
        <v>15</v>
      </c>
      <c r="J90" s="99">
        <v>86493.99</v>
      </c>
      <c r="K90" s="98">
        <f>43062.49+14596.83*1</f>
        <v>57659.32</v>
      </c>
      <c r="L90" s="101">
        <v>72362.48</v>
      </c>
      <c r="M90" s="98">
        <f t="shared" si="8"/>
        <v>216515.79</v>
      </c>
      <c r="N90" s="98">
        <f>G90*J90</f>
        <v>1297409.8500000001</v>
      </c>
      <c r="O90" s="98">
        <f>G90*K90</f>
        <v>864889.8</v>
      </c>
      <c r="P90" s="109"/>
      <c r="Q90" s="99">
        <f>G90*L90</f>
        <v>1085437.2</v>
      </c>
      <c r="R90" s="99"/>
      <c r="S90" s="99"/>
      <c r="T90" s="98">
        <f>SUM(N90:Q90)</f>
        <v>3247736.85</v>
      </c>
      <c r="U90" s="98">
        <f>T90</f>
        <v>3247736.85</v>
      </c>
      <c r="V90" s="98">
        <f>U90</f>
        <v>3247736.85</v>
      </c>
    </row>
    <row r="91" spans="1:371" ht="106.95" customHeight="1" x14ac:dyDescent="0.25">
      <c r="A91" s="92"/>
      <c r="B91" s="97" t="s">
        <v>332</v>
      </c>
      <c r="C91" s="92" t="s">
        <v>466</v>
      </c>
      <c r="D91" s="629" t="s">
        <v>130</v>
      </c>
      <c r="E91" s="104">
        <v>12</v>
      </c>
      <c r="F91" s="104">
        <v>15</v>
      </c>
      <c r="G91" s="104">
        <v>15</v>
      </c>
      <c r="H91" s="104">
        <v>15</v>
      </c>
      <c r="I91" s="104">
        <v>15</v>
      </c>
      <c r="J91" s="99">
        <v>245948.56</v>
      </c>
      <c r="K91" s="98">
        <f>64533.72+14596.83*2</f>
        <v>93727.38</v>
      </c>
      <c r="L91" s="101">
        <v>72362.48</v>
      </c>
      <c r="M91" s="98">
        <f t="shared" ref="M91" si="89">J91+K91+L91</f>
        <v>412038.42</v>
      </c>
      <c r="N91" s="98">
        <f>G91*J91</f>
        <v>3689228.4</v>
      </c>
      <c r="O91" s="98">
        <f>G91*K91</f>
        <v>1405910.7</v>
      </c>
      <c r="P91" s="109"/>
      <c r="Q91" s="99">
        <f>G91*L91</f>
        <v>1085437.2</v>
      </c>
      <c r="R91" s="99"/>
      <c r="S91" s="99"/>
      <c r="T91" s="98">
        <f>SUM(N91:Q91)</f>
        <v>6180576.2999999998</v>
      </c>
      <c r="U91" s="98">
        <f>T91</f>
        <v>6180576.2999999998</v>
      </c>
      <c r="V91" s="98">
        <f>U91</f>
        <v>6180576.2999999998</v>
      </c>
    </row>
    <row r="92" spans="1:371" ht="48.6" customHeight="1" x14ac:dyDescent="0.25">
      <c r="A92" s="92"/>
      <c r="B92" s="97" t="s">
        <v>330</v>
      </c>
      <c r="C92" s="901" t="s">
        <v>467</v>
      </c>
      <c r="D92" s="629" t="s">
        <v>130</v>
      </c>
      <c r="E92" s="104">
        <v>59</v>
      </c>
      <c r="F92" s="104">
        <v>58</v>
      </c>
      <c r="G92" s="104">
        <f>59-4</f>
        <v>55</v>
      </c>
      <c r="H92" s="104">
        <f>58-3</f>
        <v>55</v>
      </c>
      <c r="I92" s="104">
        <f>58-3</f>
        <v>55</v>
      </c>
      <c r="J92" s="99">
        <v>132713.06</v>
      </c>
      <c r="K92" s="98">
        <f>32326.86+14596.83</f>
        <v>46923.69</v>
      </c>
      <c r="L92" s="101">
        <v>72362.48</v>
      </c>
      <c r="M92" s="98">
        <f t="shared" si="8"/>
        <v>251999.23</v>
      </c>
      <c r="N92" s="98">
        <f t="shared" ref="N92:N99" si="90">G92*J92</f>
        <v>7299218.2999999998</v>
      </c>
      <c r="O92" s="98">
        <f>G92*K92</f>
        <v>2580802.9500000002</v>
      </c>
      <c r="P92" s="109"/>
      <c r="Q92" s="99">
        <f>G92*L92</f>
        <v>3979936.4</v>
      </c>
      <c r="R92" s="99"/>
      <c r="S92" s="99"/>
      <c r="T92" s="98">
        <f t="shared" ref="T92:T99" si="91">SUM(N92:Q92)</f>
        <v>13859957.65</v>
      </c>
      <c r="U92" s="98">
        <f t="shared" ref="U92:V98" si="92">T92</f>
        <v>13859957.65</v>
      </c>
      <c r="V92" s="98">
        <f>U92</f>
        <v>13859957.65</v>
      </c>
      <c r="X92" s="93">
        <f>W89-U88</f>
        <v>-19188307.120000001</v>
      </c>
    </row>
    <row r="93" spans="1:371" ht="40.200000000000003" customHeight="1" x14ac:dyDescent="0.25">
      <c r="A93" s="92"/>
      <c r="B93" s="97" t="s">
        <v>332</v>
      </c>
      <c r="C93" s="916"/>
      <c r="D93" s="629" t="s">
        <v>130</v>
      </c>
      <c r="E93" s="104">
        <v>11</v>
      </c>
      <c r="F93" s="104">
        <v>8</v>
      </c>
      <c r="G93" s="104">
        <v>12</v>
      </c>
      <c r="H93" s="104">
        <v>12</v>
      </c>
      <c r="I93" s="104">
        <v>12</v>
      </c>
      <c r="J93" s="99">
        <v>132713.06</v>
      </c>
      <c r="K93" s="98">
        <f t="shared" ref="K93:K94" si="93">32326.86+14596.83</f>
        <v>46923.69</v>
      </c>
      <c r="L93" s="101">
        <v>72362.48</v>
      </c>
      <c r="M93" s="98">
        <f t="shared" si="8"/>
        <v>251999.23</v>
      </c>
      <c r="N93" s="98">
        <f>G93*J93</f>
        <v>1592556.72</v>
      </c>
      <c r="O93" s="98">
        <f t="shared" ref="O93" si="94">G93*K93</f>
        <v>563084.28</v>
      </c>
      <c r="P93" s="109"/>
      <c r="Q93" s="99">
        <f t="shared" ref="Q93" si="95">G93*L93</f>
        <v>868349.76</v>
      </c>
      <c r="R93" s="99"/>
      <c r="S93" s="99"/>
      <c r="T93" s="98">
        <f>SUM(N93:Q93)</f>
        <v>3023990.76</v>
      </c>
      <c r="U93" s="98">
        <f t="shared" si="92"/>
        <v>3023990.76</v>
      </c>
      <c r="V93" s="98">
        <f t="shared" si="92"/>
        <v>3023990.76</v>
      </c>
    </row>
    <row r="94" spans="1:371" ht="39.6" customHeight="1" x14ac:dyDescent="0.25">
      <c r="A94" s="480" t="s">
        <v>574</v>
      </c>
      <c r="B94" s="97" t="s">
        <v>330</v>
      </c>
      <c r="C94" s="885"/>
      <c r="D94" s="629" t="s">
        <v>130</v>
      </c>
      <c r="E94" s="104">
        <v>1</v>
      </c>
      <c r="F94" s="104">
        <v>1</v>
      </c>
      <c r="G94" s="104">
        <v>0</v>
      </c>
      <c r="H94" s="104">
        <v>0</v>
      </c>
      <c r="I94" s="104">
        <v>0</v>
      </c>
      <c r="J94" s="99">
        <v>132713.06</v>
      </c>
      <c r="K94" s="98">
        <f t="shared" si="93"/>
        <v>46923.69</v>
      </c>
      <c r="L94" s="101">
        <v>72362.48</v>
      </c>
      <c r="M94" s="98">
        <f t="shared" si="8"/>
        <v>251999.23</v>
      </c>
      <c r="N94" s="98">
        <f>G94*J94</f>
        <v>0</v>
      </c>
      <c r="O94" s="98">
        <f>G94*K94</f>
        <v>0</v>
      </c>
      <c r="P94" s="109"/>
      <c r="Q94" s="99">
        <f>G94*L94</f>
        <v>0</v>
      </c>
      <c r="R94" s="99"/>
      <c r="S94" s="99"/>
      <c r="T94" s="98">
        <f t="shared" si="91"/>
        <v>0</v>
      </c>
      <c r="U94" s="98">
        <f t="shared" si="92"/>
        <v>0</v>
      </c>
      <c r="V94" s="98">
        <f>U94</f>
        <v>0</v>
      </c>
    </row>
    <row r="95" spans="1:371" s="376" customFormat="1" ht="85.95" customHeight="1" x14ac:dyDescent="0.25">
      <c r="A95" s="727"/>
      <c r="B95" s="373" t="s">
        <v>144</v>
      </c>
      <c r="C95" s="624" t="s">
        <v>297</v>
      </c>
      <c r="D95" s="373" t="s">
        <v>130</v>
      </c>
      <c r="E95" s="374">
        <v>22</v>
      </c>
      <c r="F95" s="374">
        <f>22-7</f>
        <v>15</v>
      </c>
      <c r="G95" s="639">
        <v>15</v>
      </c>
      <c r="H95" s="374">
        <v>15</v>
      </c>
      <c r="I95" s="374">
        <v>15</v>
      </c>
      <c r="J95" s="375">
        <v>4842.07</v>
      </c>
      <c r="K95" s="375">
        <v>0</v>
      </c>
      <c r="L95" s="375">
        <v>0</v>
      </c>
      <c r="M95" s="375">
        <f t="shared" si="8"/>
        <v>4842.07</v>
      </c>
      <c r="N95" s="375">
        <f>G95*J95</f>
        <v>72631.05</v>
      </c>
      <c r="O95" s="375">
        <f t="shared" ref="O95:O98" si="96">G95*K95</f>
        <v>0</v>
      </c>
      <c r="P95" s="374"/>
      <c r="Q95" s="375">
        <f>G95*L95</f>
        <v>0</v>
      </c>
      <c r="R95" s="375"/>
      <c r="S95" s="375"/>
      <c r="T95" s="375">
        <f t="shared" si="91"/>
        <v>72631.05</v>
      </c>
      <c r="U95" s="375">
        <f t="shared" si="92"/>
        <v>72631.05</v>
      </c>
      <c r="V95" s="375">
        <f t="shared" si="92"/>
        <v>72631.05</v>
      </c>
      <c r="AD95" s="83"/>
      <c r="AE95" s="83"/>
      <c r="AF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3"/>
      <c r="AX95" s="83"/>
      <c r="AY95" s="83"/>
      <c r="AZ95" s="83"/>
      <c r="BA95" s="83"/>
      <c r="BB95" s="83"/>
      <c r="BC95" s="83"/>
      <c r="BD95" s="83"/>
      <c r="BE95" s="83"/>
      <c r="BF95" s="83"/>
      <c r="BG95" s="83"/>
      <c r="BH95" s="83"/>
      <c r="BI95" s="83"/>
      <c r="BJ95" s="83"/>
      <c r="BK95" s="83"/>
      <c r="BL95" s="83"/>
      <c r="BM95" s="83"/>
      <c r="BN95" s="83"/>
      <c r="BO95" s="83"/>
      <c r="BP95" s="83"/>
      <c r="BQ95" s="83"/>
      <c r="BR95" s="83"/>
      <c r="BS95" s="83"/>
      <c r="BT95" s="83"/>
      <c r="BU95" s="83"/>
      <c r="BV95" s="83"/>
      <c r="BW95" s="83"/>
      <c r="BX95" s="83"/>
      <c r="BY95" s="83"/>
      <c r="BZ95" s="83"/>
      <c r="CA95" s="83"/>
      <c r="CB95" s="83"/>
      <c r="CC95" s="83"/>
      <c r="CD95" s="83"/>
      <c r="CE95" s="83"/>
      <c r="CF95" s="83"/>
      <c r="CG95" s="83"/>
      <c r="CH95" s="83"/>
      <c r="CI95" s="83"/>
      <c r="CJ95" s="83"/>
      <c r="CK95" s="83"/>
      <c r="CL95" s="83"/>
      <c r="CM95" s="83"/>
      <c r="CN95" s="83"/>
      <c r="CO95" s="83"/>
      <c r="CP95" s="83"/>
      <c r="CQ95" s="83"/>
      <c r="CR95" s="83"/>
      <c r="CS95" s="83"/>
      <c r="CT95" s="83"/>
      <c r="CU95" s="83"/>
      <c r="CV95" s="83"/>
      <c r="CW95" s="83"/>
      <c r="CX95" s="83"/>
      <c r="CY95" s="83"/>
      <c r="CZ95" s="83"/>
      <c r="DA95" s="83"/>
      <c r="DB95" s="83"/>
      <c r="DC95" s="83"/>
      <c r="DD95" s="83"/>
      <c r="DE95" s="83"/>
      <c r="DF95" s="83"/>
      <c r="DG95" s="83"/>
      <c r="DH95" s="83"/>
      <c r="DI95" s="83"/>
      <c r="DJ95" s="83"/>
      <c r="DK95" s="83"/>
      <c r="DL95" s="83"/>
      <c r="DM95" s="83"/>
      <c r="DN95" s="83"/>
      <c r="DO95" s="83"/>
      <c r="DP95" s="83"/>
      <c r="DQ95" s="83"/>
      <c r="DR95" s="83"/>
      <c r="DS95" s="83"/>
      <c r="DT95" s="83"/>
      <c r="DU95" s="83"/>
      <c r="DV95" s="83"/>
      <c r="DW95" s="83"/>
      <c r="DX95" s="83"/>
      <c r="DY95" s="83"/>
      <c r="DZ95" s="83"/>
      <c r="EA95" s="83"/>
      <c r="EB95" s="83"/>
      <c r="EC95" s="83"/>
      <c r="ED95" s="83"/>
      <c r="EE95" s="83"/>
      <c r="EF95" s="83"/>
      <c r="EG95" s="83"/>
      <c r="EH95" s="83"/>
      <c r="EI95" s="83"/>
      <c r="EJ95" s="83"/>
      <c r="EK95" s="83"/>
      <c r="EL95" s="83"/>
      <c r="EM95" s="83"/>
      <c r="EN95" s="83"/>
      <c r="EO95" s="83"/>
      <c r="EP95" s="83"/>
      <c r="EQ95" s="83"/>
      <c r="ER95" s="83"/>
      <c r="ES95" s="83"/>
      <c r="ET95" s="83"/>
      <c r="EU95" s="83"/>
      <c r="EV95" s="83"/>
      <c r="EW95" s="83"/>
      <c r="EX95" s="83"/>
      <c r="EY95" s="83"/>
      <c r="EZ95" s="83"/>
      <c r="FA95" s="83"/>
      <c r="FB95" s="83"/>
      <c r="FC95" s="83"/>
      <c r="FD95" s="83"/>
      <c r="FE95" s="83"/>
      <c r="FF95" s="83"/>
      <c r="FG95" s="83"/>
      <c r="FH95" s="83"/>
      <c r="FI95" s="83"/>
      <c r="FJ95" s="83"/>
      <c r="FK95" s="83"/>
      <c r="FL95" s="83"/>
      <c r="FM95" s="83"/>
      <c r="FN95" s="83"/>
      <c r="FO95" s="83"/>
      <c r="FP95" s="83"/>
      <c r="FQ95" s="83"/>
      <c r="FR95" s="83"/>
      <c r="FS95" s="83"/>
      <c r="FT95" s="83"/>
      <c r="FU95" s="83"/>
      <c r="FV95" s="83"/>
      <c r="FW95" s="83"/>
      <c r="FX95" s="83"/>
      <c r="FY95" s="83"/>
      <c r="FZ95" s="83"/>
      <c r="GA95" s="83"/>
      <c r="GB95" s="83"/>
      <c r="GC95" s="83"/>
      <c r="GD95" s="83"/>
      <c r="GE95" s="83"/>
      <c r="GF95" s="83"/>
      <c r="GG95" s="83"/>
      <c r="GH95" s="83"/>
      <c r="GI95" s="83"/>
      <c r="GJ95" s="83"/>
      <c r="GK95" s="83"/>
      <c r="GL95" s="83"/>
      <c r="GM95" s="83"/>
      <c r="GN95" s="83"/>
      <c r="GO95" s="83"/>
      <c r="GP95" s="83"/>
      <c r="GQ95" s="83"/>
      <c r="GR95" s="83"/>
      <c r="GS95" s="83"/>
      <c r="GT95" s="83"/>
      <c r="GU95" s="83"/>
      <c r="GV95" s="83"/>
      <c r="GW95" s="83"/>
      <c r="GX95" s="83"/>
      <c r="GY95" s="83"/>
      <c r="GZ95" s="83"/>
      <c r="HA95" s="83"/>
      <c r="HB95" s="83"/>
      <c r="HC95" s="83"/>
      <c r="HD95" s="83"/>
      <c r="HE95" s="83"/>
      <c r="HF95" s="83"/>
      <c r="HG95" s="83"/>
      <c r="HH95" s="83"/>
      <c r="HI95" s="83"/>
      <c r="HJ95" s="83"/>
      <c r="HK95" s="83"/>
      <c r="HL95" s="83"/>
      <c r="HM95" s="83"/>
      <c r="HN95" s="83"/>
      <c r="HO95" s="83"/>
      <c r="HP95" s="83"/>
      <c r="HQ95" s="83"/>
      <c r="HR95" s="83"/>
      <c r="HS95" s="83"/>
      <c r="HT95" s="83"/>
      <c r="HU95" s="83"/>
      <c r="HV95" s="83"/>
      <c r="HW95" s="83"/>
      <c r="HX95" s="83"/>
      <c r="HY95" s="83"/>
      <c r="HZ95" s="83"/>
      <c r="IA95" s="83"/>
      <c r="IB95" s="83"/>
      <c r="IC95" s="83"/>
      <c r="ID95" s="83"/>
      <c r="IE95" s="83"/>
      <c r="IF95" s="83"/>
      <c r="IG95" s="83"/>
      <c r="IH95" s="83"/>
      <c r="II95" s="83"/>
      <c r="IJ95" s="83"/>
      <c r="IK95" s="83"/>
      <c r="IL95" s="83"/>
      <c r="IM95" s="83"/>
      <c r="IN95" s="83"/>
      <c r="IO95" s="83"/>
      <c r="IP95" s="83"/>
      <c r="IQ95" s="83"/>
      <c r="IR95" s="83"/>
      <c r="IS95" s="83"/>
      <c r="IT95" s="83"/>
      <c r="IU95" s="83"/>
      <c r="IV95" s="83"/>
      <c r="IW95" s="83"/>
      <c r="IX95" s="83"/>
      <c r="IY95" s="83"/>
      <c r="IZ95" s="83"/>
      <c r="JA95" s="83"/>
      <c r="JB95" s="83"/>
      <c r="JC95" s="83"/>
      <c r="JD95" s="83"/>
      <c r="JE95" s="83"/>
      <c r="JF95" s="83"/>
      <c r="JG95" s="83"/>
      <c r="JH95" s="83"/>
      <c r="JI95" s="83"/>
      <c r="JJ95" s="83"/>
      <c r="JK95" s="83"/>
      <c r="JL95" s="83"/>
      <c r="JM95" s="83"/>
      <c r="JN95" s="83"/>
      <c r="JO95" s="83"/>
      <c r="JP95" s="83"/>
      <c r="JQ95" s="83"/>
      <c r="JR95" s="83"/>
      <c r="JS95" s="83"/>
      <c r="JT95" s="83"/>
      <c r="JU95" s="83"/>
      <c r="JV95" s="83"/>
      <c r="JW95" s="83"/>
      <c r="JX95" s="83"/>
      <c r="JY95" s="83"/>
      <c r="JZ95" s="83"/>
      <c r="KA95" s="83"/>
      <c r="KB95" s="83"/>
      <c r="KC95" s="83"/>
      <c r="KD95" s="83"/>
      <c r="KE95" s="83"/>
      <c r="KF95" s="83"/>
      <c r="KG95" s="83"/>
      <c r="KH95" s="83"/>
      <c r="KI95" s="83"/>
      <c r="KJ95" s="83"/>
      <c r="KK95" s="83"/>
      <c r="KL95" s="83"/>
      <c r="KM95" s="83"/>
      <c r="KN95" s="83"/>
      <c r="KO95" s="83"/>
      <c r="KP95" s="83"/>
      <c r="KQ95" s="83"/>
      <c r="KR95" s="83"/>
      <c r="KS95" s="83"/>
      <c r="KT95" s="83"/>
      <c r="KU95" s="83"/>
      <c r="KV95" s="83"/>
      <c r="KW95" s="83"/>
      <c r="KX95" s="83"/>
      <c r="KY95" s="83"/>
      <c r="KZ95" s="83"/>
      <c r="LA95" s="83"/>
      <c r="LB95" s="83"/>
      <c r="LC95" s="83"/>
      <c r="LD95" s="83"/>
      <c r="LE95" s="83"/>
      <c r="LF95" s="83"/>
      <c r="LG95" s="83"/>
      <c r="LH95" s="83"/>
      <c r="LI95" s="83"/>
      <c r="LJ95" s="83"/>
      <c r="LK95" s="83"/>
      <c r="LL95" s="83"/>
      <c r="LM95" s="83"/>
      <c r="LN95" s="83"/>
      <c r="LO95" s="83"/>
      <c r="LP95" s="83"/>
      <c r="LQ95" s="83"/>
      <c r="LR95" s="83"/>
      <c r="LS95" s="83"/>
      <c r="LT95" s="83"/>
      <c r="LU95" s="83"/>
      <c r="LV95" s="83"/>
      <c r="LW95" s="83"/>
      <c r="LX95" s="83"/>
      <c r="LY95" s="83"/>
      <c r="LZ95" s="83"/>
      <c r="MA95" s="83"/>
      <c r="MB95" s="83"/>
      <c r="MC95" s="83"/>
      <c r="MD95" s="83"/>
      <c r="ME95" s="83"/>
      <c r="MF95" s="83"/>
      <c r="MG95" s="83"/>
      <c r="MH95" s="83"/>
      <c r="MI95" s="83"/>
      <c r="MJ95" s="83"/>
      <c r="MK95" s="83"/>
      <c r="ML95" s="83"/>
      <c r="MM95" s="83"/>
      <c r="MN95" s="83"/>
      <c r="MO95" s="83"/>
      <c r="MP95" s="83"/>
      <c r="MQ95" s="83"/>
      <c r="MR95" s="83"/>
      <c r="MS95" s="83"/>
      <c r="MT95" s="83"/>
      <c r="MU95" s="83"/>
      <c r="MV95" s="83"/>
      <c r="MW95" s="83"/>
      <c r="MX95" s="83"/>
      <c r="MY95" s="83"/>
      <c r="MZ95" s="83"/>
      <c r="NA95" s="83"/>
      <c r="NB95" s="83"/>
      <c r="NC95" s="83"/>
      <c r="ND95" s="83"/>
      <c r="NE95" s="83"/>
      <c r="NF95" s="83"/>
      <c r="NG95" s="83"/>
    </row>
    <row r="96" spans="1:371" s="376" customFormat="1" ht="105" customHeight="1" x14ac:dyDescent="0.25">
      <c r="A96" s="624"/>
      <c r="B96" s="373" t="s">
        <v>336</v>
      </c>
      <c r="C96" s="377" t="s">
        <v>587</v>
      </c>
      <c r="D96" s="373" t="s">
        <v>130</v>
      </c>
      <c r="E96" s="374">
        <v>12</v>
      </c>
      <c r="F96" s="374">
        <v>15</v>
      </c>
      <c r="G96" s="639">
        <v>15</v>
      </c>
      <c r="H96" s="374">
        <v>15</v>
      </c>
      <c r="I96" s="374">
        <v>15</v>
      </c>
      <c r="J96" s="375">
        <v>7263.1</v>
      </c>
      <c r="K96" s="375">
        <v>0</v>
      </c>
      <c r="L96" s="375">
        <v>0</v>
      </c>
      <c r="M96" s="375">
        <f t="shared" ref="M96:M189" si="97">J96+K96+L96</f>
        <v>7263.1</v>
      </c>
      <c r="N96" s="375">
        <f t="shared" si="90"/>
        <v>108946.5</v>
      </c>
      <c r="O96" s="375">
        <f t="shared" si="96"/>
        <v>0</v>
      </c>
      <c r="P96" s="374"/>
      <c r="Q96" s="375">
        <f>G96*L96</f>
        <v>0</v>
      </c>
      <c r="R96" s="375"/>
      <c r="S96" s="375"/>
      <c r="T96" s="375">
        <f t="shared" si="91"/>
        <v>108946.5</v>
      </c>
      <c r="U96" s="375">
        <f t="shared" si="92"/>
        <v>108946.5</v>
      </c>
      <c r="V96" s="375">
        <f>U96</f>
        <v>108946.5</v>
      </c>
      <c r="AD96" s="83"/>
      <c r="AE96" s="83"/>
      <c r="AF96" s="83"/>
      <c r="AH96" s="83"/>
      <c r="AI96" s="83"/>
      <c r="AJ96" s="83"/>
      <c r="AK96" s="83"/>
      <c r="AL96" s="83"/>
      <c r="AM96" s="83"/>
      <c r="AN96" s="83"/>
      <c r="AO96" s="83"/>
      <c r="AP96" s="83"/>
      <c r="AQ96" s="83"/>
      <c r="AR96" s="83"/>
      <c r="AS96" s="83"/>
      <c r="AT96" s="83"/>
      <c r="AU96" s="83"/>
      <c r="AV96" s="83"/>
      <c r="AW96" s="83"/>
      <c r="AX96" s="83"/>
      <c r="AY96" s="83"/>
      <c r="AZ96" s="83"/>
      <c r="BA96" s="83"/>
      <c r="BB96" s="83"/>
      <c r="BC96" s="83"/>
      <c r="BD96" s="83"/>
      <c r="BE96" s="83"/>
      <c r="BF96" s="83"/>
      <c r="BG96" s="83"/>
      <c r="BH96" s="83"/>
      <c r="BI96" s="83"/>
      <c r="BJ96" s="83"/>
      <c r="BK96" s="83"/>
      <c r="BL96" s="83"/>
      <c r="BM96" s="83"/>
      <c r="BN96" s="83"/>
      <c r="BO96" s="83"/>
      <c r="BP96" s="83"/>
      <c r="BQ96" s="83"/>
      <c r="BR96" s="83"/>
      <c r="BS96" s="83"/>
      <c r="BT96" s="83"/>
      <c r="BU96" s="83"/>
      <c r="BV96" s="83"/>
      <c r="BW96" s="83"/>
      <c r="BX96" s="83"/>
      <c r="BY96" s="83"/>
      <c r="BZ96" s="83"/>
      <c r="CA96" s="83"/>
      <c r="CB96" s="83"/>
      <c r="CC96" s="83"/>
      <c r="CD96" s="83"/>
      <c r="CE96" s="83"/>
      <c r="CF96" s="83"/>
      <c r="CG96" s="83"/>
      <c r="CH96" s="83"/>
      <c r="CI96" s="83"/>
      <c r="CJ96" s="83"/>
      <c r="CK96" s="83"/>
      <c r="CL96" s="83"/>
      <c r="CM96" s="83"/>
      <c r="CN96" s="83"/>
      <c r="CO96" s="83"/>
      <c r="CP96" s="83"/>
      <c r="CQ96" s="83"/>
      <c r="CR96" s="83"/>
      <c r="CS96" s="83"/>
      <c r="CT96" s="83"/>
      <c r="CU96" s="83"/>
      <c r="CV96" s="83"/>
      <c r="CW96" s="83"/>
      <c r="CX96" s="83"/>
      <c r="CY96" s="83"/>
      <c r="CZ96" s="83"/>
      <c r="DA96" s="83"/>
      <c r="DB96" s="83"/>
      <c r="DC96" s="83"/>
      <c r="DD96" s="83"/>
      <c r="DE96" s="83"/>
      <c r="DF96" s="83"/>
      <c r="DG96" s="83"/>
      <c r="DH96" s="83"/>
      <c r="DI96" s="83"/>
      <c r="DJ96" s="83"/>
      <c r="DK96" s="83"/>
      <c r="DL96" s="83"/>
      <c r="DM96" s="83"/>
      <c r="DN96" s="83"/>
      <c r="DO96" s="83"/>
      <c r="DP96" s="83"/>
      <c r="DQ96" s="83"/>
      <c r="DR96" s="83"/>
      <c r="DS96" s="83"/>
      <c r="DT96" s="83"/>
      <c r="DU96" s="83"/>
      <c r="DV96" s="83"/>
      <c r="DW96" s="83"/>
      <c r="DX96" s="83"/>
      <c r="DY96" s="83"/>
      <c r="DZ96" s="83"/>
      <c r="EA96" s="83"/>
      <c r="EB96" s="83"/>
      <c r="EC96" s="83"/>
      <c r="ED96" s="83"/>
      <c r="EE96" s="83"/>
      <c r="EF96" s="83"/>
      <c r="EG96" s="83"/>
      <c r="EH96" s="83"/>
      <c r="EI96" s="83"/>
      <c r="EJ96" s="83"/>
      <c r="EK96" s="83"/>
      <c r="EL96" s="83"/>
      <c r="EM96" s="83"/>
      <c r="EN96" s="83"/>
      <c r="EO96" s="83"/>
      <c r="EP96" s="83"/>
      <c r="EQ96" s="83"/>
      <c r="ER96" s="83"/>
      <c r="ES96" s="83"/>
      <c r="ET96" s="83"/>
      <c r="EU96" s="83"/>
      <c r="EV96" s="83"/>
      <c r="EW96" s="83"/>
      <c r="EX96" s="83"/>
      <c r="EY96" s="83"/>
      <c r="EZ96" s="83"/>
      <c r="FA96" s="83"/>
      <c r="FB96" s="83"/>
      <c r="FC96" s="83"/>
      <c r="FD96" s="83"/>
      <c r="FE96" s="83"/>
      <c r="FF96" s="83"/>
      <c r="FG96" s="83"/>
      <c r="FH96" s="83"/>
      <c r="FI96" s="83"/>
      <c r="FJ96" s="83"/>
      <c r="FK96" s="83"/>
      <c r="FL96" s="83"/>
      <c r="FM96" s="83"/>
      <c r="FN96" s="83"/>
      <c r="FO96" s="83"/>
      <c r="FP96" s="83"/>
      <c r="FQ96" s="83"/>
      <c r="FR96" s="83"/>
      <c r="FS96" s="83"/>
      <c r="FT96" s="83"/>
      <c r="FU96" s="83"/>
      <c r="FV96" s="83"/>
      <c r="FW96" s="83"/>
      <c r="FX96" s="83"/>
      <c r="FY96" s="83"/>
      <c r="FZ96" s="83"/>
      <c r="GA96" s="83"/>
      <c r="GB96" s="83"/>
      <c r="GC96" s="83"/>
      <c r="GD96" s="83"/>
      <c r="GE96" s="83"/>
      <c r="GF96" s="83"/>
      <c r="GG96" s="83"/>
      <c r="GH96" s="83"/>
      <c r="GI96" s="83"/>
      <c r="GJ96" s="83"/>
      <c r="GK96" s="83"/>
      <c r="GL96" s="83"/>
      <c r="GM96" s="83"/>
      <c r="GN96" s="83"/>
      <c r="GO96" s="83"/>
      <c r="GP96" s="83"/>
      <c r="GQ96" s="83"/>
      <c r="GR96" s="83"/>
      <c r="GS96" s="83"/>
      <c r="GT96" s="83"/>
      <c r="GU96" s="83"/>
      <c r="GV96" s="83"/>
      <c r="GW96" s="83"/>
      <c r="GX96" s="83"/>
      <c r="GY96" s="83"/>
      <c r="GZ96" s="83"/>
      <c r="HA96" s="83"/>
      <c r="HB96" s="83"/>
      <c r="HC96" s="83"/>
      <c r="HD96" s="83"/>
      <c r="HE96" s="83"/>
      <c r="HF96" s="83"/>
      <c r="HG96" s="83"/>
      <c r="HH96" s="83"/>
      <c r="HI96" s="83"/>
      <c r="HJ96" s="83"/>
      <c r="HK96" s="83"/>
      <c r="HL96" s="83"/>
      <c r="HM96" s="83"/>
      <c r="HN96" s="83"/>
      <c r="HO96" s="83"/>
      <c r="HP96" s="83"/>
      <c r="HQ96" s="83"/>
      <c r="HR96" s="83"/>
      <c r="HS96" s="83"/>
      <c r="HT96" s="83"/>
      <c r="HU96" s="83"/>
      <c r="HV96" s="83"/>
      <c r="HW96" s="83"/>
      <c r="HX96" s="83"/>
      <c r="HY96" s="83"/>
      <c r="HZ96" s="83"/>
      <c r="IA96" s="83"/>
      <c r="IB96" s="83"/>
      <c r="IC96" s="83"/>
      <c r="ID96" s="83"/>
      <c r="IE96" s="83"/>
      <c r="IF96" s="83"/>
      <c r="IG96" s="83"/>
      <c r="IH96" s="83"/>
      <c r="II96" s="83"/>
      <c r="IJ96" s="83"/>
      <c r="IK96" s="83"/>
      <c r="IL96" s="83"/>
      <c r="IM96" s="83"/>
      <c r="IN96" s="83"/>
      <c r="IO96" s="83"/>
      <c r="IP96" s="83"/>
      <c r="IQ96" s="83"/>
      <c r="IR96" s="83"/>
      <c r="IS96" s="83"/>
      <c r="IT96" s="83"/>
      <c r="IU96" s="83"/>
      <c r="IV96" s="83"/>
      <c r="IW96" s="83"/>
      <c r="IX96" s="83"/>
      <c r="IY96" s="83"/>
      <c r="IZ96" s="83"/>
      <c r="JA96" s="83"/>
      <c r="JB96" s="83"/>
      <c r="JC96" s="83"/>
      <c r="JD96" s="83"/>
      <c r="JE96" s="83"/>
      <c r="JF96" s="83"/>
      <c r="JG96" s="83"/>
      <c r="JH96" s="83"/>
      <c r="JI96" s="83"/>
      <c r="JJ96" s="83"/>
      <c r="JK96" s="83"/>
      <c r="JL96" s="83"/>
      <c r="JM96" s="83"/>
      <c r="JN96" s="83"/>
      <c r="JO96" s="83"/>
      <c r="JP96" s="83"/>
      <c r="JQ96" s="83"/>
      <c r="JR96" s="83"/>
      <c r="JS96" s="83"/>
      <c r="JT96" s="83"/>
      <c r="JU96" s="83"/>
      <c r="JV96" s="83"/>
      <c r="JW96" s="83"/>
      <c r="JX96" s="83"/>
      <c r="JY96" s="83"/>
      <c r="JZ96" s="83"/>
      <c r="KA96" s="83"/>
      <c r="KB96" s="83"/>
      <c r="KC96" s="83"/>
      <c r="KD96" s="83"/>
      <c r="KE96" s="83"/>
      <c r="KF96" s="83"/>
      <c r="KG96" s="83"/>
      <c r="KH96" s="83"/>
      <c r="KI96" s="83"/>
      <c r="KJ96" s="83"/>
      <c r="KK96" s="83"/>
      <c r="KL96" s="83"/>
      <c r="KM96" s="83"/>
      <c r="KN96" s="83"/>
      <c r="KO96" s="83"/>
      <c r="KP96" s="83"/>
      <c r="KQ96" s="83"/>
      <c r="KR96" s="83"/>
      <c r="KS96" s="83"/>
      <c r="KT96" s="83"/>
      <c r="KU96" s="83"/>
      <c r="KV96" s="83"/>
      <c r="KW96" s="83"/>
      <c r="KX96" s="83"/>
      <c r="KY96" s="83"/>
      <c r="KZ96" s="83"/>
      <c r="LA96" s="83"/>
      <c r="LB96" s="83"/>
      <c r="LC96" s="83"/>
      <c r="LD96" s="83"/>
      <c r="LE96" s="83"/>
      <c r="LF96" s="83"/>
      <c r="LG96" s="83"/>
      <c r="LH96" s="83"/>
      <c r="LI96" s="83"/>
      <c r="LJ96" s="83"/>
      <c r="LK96" s="83"/>
      <c r="LL96" s="83"/>
      <c r="LM96" s="83"/>
      <c r="LN96" s="83"/>
      <c r="LO96" s="83"/>
      <c r="LP96" s="83"/>
      <c r="LQ96" s="83"/>
      <c r="LR96" s="83"/>
      <c r="LS96" s="83"/>
      <c r="LT96" s="83"/>
      <c r="LU96" s="83"/>
      <c r="LV96" s="83"/>
      <c r="LW96" s="83"/>
      <c r="LX96" s="83"/>
      <c r="LY96" s="83"/>
      <c r="LZ96" s="83"/>
      <c r="MA96" s="83"/>
      <c r="MB96" s="83"/>
      <c r="MC96" s="83"/>
      <c r="MD96" s="83"/>
      <c r="ME96" s="83"/>
      <c r="MF96" s="83"/>
      <c r="MG96" s="83"/>
      <c r="MH96" s="83"/>
      <c r="MI96" s="83"/>
      <c r="MJ96" s="83"/>
      <c r="MK96" s="83"/>
      <c r="ML96" s="83"/>
      <c r="MM96" s="83"/>
      <c r="MN96" s="83"/>
      <c r="MO96" s="83"/>
      <c r="MP96" s="83"/>
      <c r="MQ96" s="83"/>
      <c r="MR96" s="83"/>
      <c r="MS96" s="83"/>
      <c r="MT96" s="83"/>
      <c r="MU96" s="83"/>
      <c r="MV96" s="83"/>
      <c r="MW96" s="83"/>
      <c r="MX96" s="83"/>
      <c r="MY96" s="83"/>
      <c r="MZ96" s="83"/>
      <c r="NA96" s="83"/>
      <c r="NB96" s="83"/>
      <c r="NC96" s="83"/>
      <c r="ND96" s="83"/>
      <c r="NE96" s="83"/>
      <c r="NF96" s="83"/>
      <c r="NG96" s="83"/>
    </row>
    <row r="97" spans="1:371" s="376" customFormat="1" ht="47.4" customHeight="1" x14ac:dyDescent="0.25">
      <c r="A97" s="624"/>
      <c r="B97" s="373" t="s">
        <v>336</v>
      </c>
      <c r="C97" s="899" t="s">
        <v>298</v>
      </c>
      <c r="D97" s="373" t="s">
        <v>130</v>
      </c>
      <c r="E97" s="374">
        <v>11</v>
      </c>
      <c r="F97" s="374">
        <v>8</v>
      </c>
      <c r="G97" s="639">
        <v>7</v>
      </c>
      <c r="H97" s="374">
        <v>7</v>
      </c>
      <c r="I97" s="374">
        <v>7</v>
      </c>
      <c r="J97" s="375">
        <v>4842.07</v>
      </c>
      <c r="K97" s="375">
        <v>0</v>
      </c>
      <c r="L97" s="375">
        <v>0</v>
      </c>
      <c r="M97" s="375">
        <f t="shared" si="97"/>
        <v>4842.07</v>
      </c>
      <c r="N97" s="375">
        <f t="shared" si="90"/>
        <v>33894.49</v>
      </c>
      <c r="O97" s="375">
        <f t="shared" si="96"/>
        <v>0</v>
      </c>
      <c r="P97" s="374"/>
      <c r="Q97" s="375">
        <f t="shared" ref="Q97:Q98" si="98">G97*L97</f>
        <v>0</v>
      </c>
      <c r="R97" s="375"/>
      <c r="S97" s="375"/>
      <c r="T97" s="375">
        <f t="shared" si="91"/>
        <v>33894.49</v>
      </c>
      <c r="U97" s="375">
        <f t="shared" si="92"/>
        <v>33894.49</v>
      </c>
      <c r="V97" s="375">
        <f t="shared" si="92"/>
        <v>33894.49</v>
      </c>
      <c r="AD97" s="83"/>
      <c r="AE97" s="83"/>
      <c r="AF97" s="83"/>
      <c r="AH97" s="83"/>
      <c r="AI97" s="83"/>
      <c r="AJ97" s="83"/>
      <c r="AK97" s="83"/>
      <c r="AL97" s="83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  <c r="AX97" s="83"/>
      <c r="AY97" s="83"/>
      <c r="AZ97" s="83"/>
      <c r="BA97" s="83"/>
      <c r="BB97" s="83"/>
      <c r="BC97" s="83"/>
      <c r="BD97" s="83"/>
      <c r="BE97" s="83"/>
      <c r="BF97" s="83"/>
      <c r="BG97" s="83"/>
      <c r="BH97" s="83"/>
      <c r="BI97" s="83"/>
      <c r="BJ97" s="83"/>
      <c r="BK97" s="83"/>
      <c r="BL97" s="83"/>
      <c r="BM97" s="83"/>
      <c r="BN97" s="83"/>
      <c r="BO97" s="83"/>
      <c r="BP97" s="83"/>
      <c r="BQ97" s="83"/>
      <c r="BR97" s="83"/>
      <c r="BS97" s="83"/>
      <c r="BT97" s="83"/>
      <c r="BU97" s="83"/>
      <c r="BV97" s="83"/>
      <c r="BW97" s="83"/>
      <c r="BX97" s="83"/>
      <c r="BY97" s="83"/>
      <c r="BZ97" s="83"/>
      <c r="CA97" s="83"/>
      <c r="CB97" s="83"/>
      <c r="CC97" s="83"/>
      <c r="CD97" s="83"/>
      <c r="CE97" s="83"/>
      <c r="CF97" s="83"/>
      <c r="CG97" s="83"/>
      <c r="CH97" s="83"/>
      <c r="CI97" s="83"/>
      <c r="CJ97" s="83"/>
      <c r="CK97" s="83"/>
      <c r="CL97" s="83"/>
      <c r="CM97" s="83"/>
      <c r="CN97" s="83"/>
      <c r="CO97" s="83"/>
      <c r="CP97" s="83"/>
      <c r="CQ97" s="83"/>
      <c r="CR97" s="83"/>
      <c r="CS97" s="83"/>
      <c r="CT97" s="83"/>
      <c r="CU97" s="83"/>
      <c r="CV97" s="83"/>
      <c r="CW97" s="83"/>
      <c r="CX97" s="83"/>
      <c r="CY97" s="83"/>
      <c r="CZ97" s="83"/>
      <c r="DA97" s="83"/>
      <c r="DB97" s="83"/>
      <c r="DC97" s="83"/>
      <c r="DD97" s="83"/>
      <c r="DE97" s="83"/>
      <c r="DF97" s="83"/>
      <c r="DG97" s="83"/>
      <c r="DH97" s="83"/>
      <c r="DI97" s="83"/>
      <c r="DJ97" s="83"/>
      <c r="DK97" s="83"/>
      <c r="DL97" s="83"/>
      <c r="DM97" s="83"/>
      <c r="DN97" s="83"/>
      <c r="DO97" s="83"/>
      <c r="DP97" s="83"/>
      <c r="DQ97" s="83"/>
      <c r="DR97" s="83"/>
      <c r="DS97" s="83"/>
      <c r="DT97" s="83"/>
      <c r="DU97" s="83"/>
      <c r="DV97" s="83"/>
      <c r="DW97" s="83"/>
      <c r="DX97" s="83"/>
      <c r="DY97" s="83"/>
      <c r="DZ97" s="83"/>
      <c r="EA97" s="83"/>
      <c r="EB97" s="83"/>
      <c r="EC97" s="83"/>
      <c r="ED97" s="83"/>
      <c r="EE97" s="83"/>
      <c r="EF97" s="83"/>
      <c r="EG97" s="83"/>
      <c r="EH97" s="83"/>
      <c r="EI97" s="83"/>
      <c r="EJ97" s="83"/>
      <c r="EK97" s="83"/>
      <c r="EL97" s="83"/>
      <c r="EM97" s="83"/>
      <c r="EN97" s="83"/>
      <c r="EO97" s="83"/>
      <c r="EP97" s="83"/>
      <c r="EQ97" s="83"/>
      <c r="ER97" s="83"/>
      <c r="ES97" s="83"/>
      <c r="ET97" s="83"/>
      <c r="EU97" s="83"/>
      <c r="EV97" s="83"/>
      <c r="EW97" s="83"/>
      <c r="EX97" s="83"/>
      <c r="EY97" s="83"/>
      <c r="EZ97" s="83"/>
      <c r="FA97" s="83"/>
      <c r="FB97" s="83"/>
      <c r="FC97" s="83"/>
      <c r="FD97" s="83"/>
      <c r="FE97" s="83"/>
      <c r="FF97" s="83"/>
      <c r="FG97" s="83"/>
      <c r="FH97" s="83"/>
      <c r="FI97" s="83"/>
      <c r="FJ97" s="83"/>
      <c r="FK97" s="83"/>
      <c r="FL97" s="83"/>
      <c r="FM97" s="83"/>
      <c r="FN97" s="83"/>
      <c r="FO97" s="83"/>
      <c r="FP97" s="83"/>
      <c r="FQ97" s="83"/>
      <c r="FR97" s="83"/>
      <c r="FS97" s="83"/>
      <c r="FT97" s="83"/>
      <c r="FU97" s="83"/>
      <c r="FV97" s="83"/>
      <c r="FW97" s="83"/>
      <c r="FX97" s="83"/>
      <c r="FY97" s="83"/>
      <c r="FZ97" s="83"/>
      <c r="GA97" s="83"/>
      <c r="GB97" s="83"/>
      <c r="GC97" s="83"/>
      <c r="GD97" s="83"/>
      <c r="GE97" s="83"/>
      <c r="GF97" s="83"/>
      <c r="GG97" s="83"/>
      <c r="GH97" s="83"/>
      <c r="GI97" s="83"/>
      <c r="GJ97" s="83"/>
      <c r="GK97" s="83"/>
      <c r="GL97" s="83"/>
      <c r="GM97" s="83"/>
      <c r="GN97" s="83"/>
      <c r="GO97" s="83"/>
      <c r="GP97" s="83"/>
      <c r="GQ97" s="83"/>
      <c r="GR97" s="83"/>
      <c r="GS97" s="83"/>
      <c r="GT97" s="83"/>
      <c r="GU97" s="83"/>
      <c r="GV97" s="83"/>
      <c r="GW97" s="83"/>
      <c r="GX97" s="83"/>
      <c r="GY97" s="83"/>
      <c r="GZ97" s="83"/>
      <c r="HA97" s="83"/>
      <c r="HB97" s="83"/>
      <c r="HC97" s="83"/>
      <c r="HD97" s="83"/>
      <c r="HE97" s="83"/>
      <c r="HF97" s="83"/>
      <c r="HG97" s="83"/>
      <c r="HH97" s="83"/>
      <c r="HI97" s="83"/>
      <c r="HJ97" s="83"/>
      <c r="HK97" s="83"/>
      <c r="HL97" s="83"/>
      <c r="HM97" s="83"/>
      <c r="HN97" s="83"/>
      <c r="HO97" s="83"/>
      <c r="HP97" s="83"/>
      <c r="HQ97" s="83"/>
      <c r="HR97" s="83"/>
      <c r="HS97" s="83"/>
      <c r="HT97" s="83"/>
      <c r="HU97" s="83"/>
      <c r="HV97" s="83"/>
      <c r="HW97" s="83"/>
      <c r="HX97" s="83"/>
      <c r="HY97" s="83"/>
      <c r="HZ97" s="83"/>
      <c r="IA97" s="83"/>
      <c r="IB97" s="83"/>
      <c r="IC97" s="83"/>
      <c r="ID97" s="83"/>
      <c r="IE97" s="83"/>
      <c r="IF97" s="83"/>
      <c r="IG97" s="83"/>
      <c r="IH97" s="83"/>
      <c r="II97" s="83"/>
      <c r="IJ97" s="83"/>
      <c r="IK97" s="83"/>
      <c r="IL97" s="83"/>
      <c r="IM97" s="83"/>
      <c r="IN97" s="83"/>
      <c r="IO97" s="83"/>
      <c r="IP97" s="83"/>
      <c r="IQ97" s="83"/>
      <c r="IR97" s="83"/>
      <c r="IS97" s="83"/>
      <c r="IT97" s="83"/>
      <c r="IU97" s="83"/>
      <c r="IV97" s="83"/>
      <c r="IW97" s="83"/>
      <c r="IX97" s="83"/>
      <c r="IY97" s="83"/>
      <c r="IZ97" s="83"/>
      <c r="JA97" s="83"/>
      <c r="JB97" s="83"/>
      <c r="JC97" s="83"/>
      <c r="JD97" s="83"/>
      <c r="JE97" s="83"/>
      <c r="JF97" s="83"/>
      <c r="JG97" s="83"/>
      <c r="JH97" s="83"/>
      <c r="JI97" s="83"/>
      <c r="JJ97" s="83"/>
      <c r="JK97" s="83"/>
      <c r="JL97" s="83"/>
      <c r="JM97" s="83"/>
      <c r="JN97" s="83"/>
      <c r="JO97" s="83"/>
      <c r="JP97" s="83"/>
      <c r="JQ97" s="83"/>
      <c r="JR97" s="83"/>
      <c r="JS97" s="83"/>
      <c r="JT97" s="83"/>
      <c r="JU97" s="83"/>
      <c r="JV97" s="83"/>
      <c r="JW97" s="83"/>
      <c r="JX97" s="83"/>
      <c r="JY97" s="83"/>
      <c r="JZ97" s="83"/>
      <c r="KA97" s="83"/>
      <c r="KB97" s="83"/>
      <c r="KC97" s="83"/>
      <c r="KD97" s="83"/>
      <c r="KE97" s="83"/>
      <c r="KF97" s="83"/>
      <c r="KG97" s="83"/>
      <c r="KH97" s="83"/>
      <c r="KI97" s="83"/>
      <c r="KJ97" s="83"/>
      <c r="KK97" s="83"/>
      <c r="KL97" s="83"/>
      <c r="KM97" s="83"/>
      <c r="KN97" s="83"/>
      <c r="KO97" s="83"/>
      <c r="KP97" s="83"/>
      <c r="KQ97" s="83"/>
      <c r="KR97" s="83"/>
      <c r="KS97" s="83"/>
      <c r="KT97" s="83"/>
      <c r="KU97" s="83"/>
      <c r="KV97" s="83"/>
      <c r="KW97" s="83"/>
      <c r="KX97" s="83"/>
      <c r="KY97" s="83"/>
      <c r="KZ97" s="83"/>
      <c r="LA97" s="83"/>
      <c r="LB97" s="83"/>
      <c r="LC97" s="83"/>
      <c r="LD97" s="83"/>
      <c r="LE97" s="83"/>
      <c r="LF97" s="83"/>
      <c r="LG97" s="83"/>
      <c r="LH97" s="83"/>
      <c r="LI97" s="83"/>
      <c r="LJ97" s="83"/>
      <c r="LK97" s="83"/>
      <c r="LL97" s="83"/>
      <c r="LM97" s="83"/>
      <c r="LN97" s="83"/>
      <c r="LO97" s="83"/>
      <c r="LP97" s="83"/>
      <c r="LQ97" s="83"/>
      <c r="LR97" s="83"/>
      <c r="LS97" s="83"/>
      <c r="LT97" s="83"/>
      <c r="LU97" s="83"/>
      <c r="LV97" s="83"/>
      <c r="LW97" s="83"/>
      <c r="LX97" s="83"/>
      <c r="LY97" s="83"/>
      <c r="LZ97" s="83"/>
      <c r="MA97" s="83"/>
      <c r="MB97" s="83"/>
      <c r="MC97" s="83"/>
      <c r="MD97" s="83"/>
      <c r="ME97" s="83"/>
      <c r="MF97" s="83"/>
      <c r="MG97" s="83"/>
      <c r="MH97" s="83"/>
      <c r="MI97" s="83"/>
      <c r="MJ97" s="83"/>
      <c r="MK97" s="83"/>
      <c r="ML97" s="83"/>
      <c r="MM97" s="83"/>
      <c r="MN97" s="83"/>
      <c r="MO97" s="83"/>
      <c r="MP97" s="83"/>
      <c r="MQ97" s="83"/>
      <c r="MR97" s="83"/>
      <c r="MS97" s="83"/>
      <c r="MT97" s="83"/>
      <c r="MU97" s="83"/>
      <c r="MV97" s="83"/>
      <c r="MW97" s="83"/>
      <c r="MX97" s="83"/>
      <c r="MY97" s="83"/>
      <c r="MZ97" s="83"/>
      <c r="NA97" s="83"/>
      <c r="NB97" s="83"/>
      <c r="NC97" s="83"/>
      <c r="ND97" s="83"/>
      <c r="NE97" s="83"/>
      <c r="NF97" s="83"/>
      <c r="NG97" s="83"/>
    </row>
    <row r="98" spans="1:371" s="376" customFormat="1" ht="43.2" customHeight="1" x14ac:dyDescent="0.25">
      <c r="A98" s="624"/>
      <c r="B98" s="373" t="s">
        <v>335</v>
      </c>
      <c r="C98" s="900"/>
      <c r="D98" s="373" t="s">
        <v>130</v>
      </c>
      <c r="E98" s="374">
        <v>60</v>
      </c>
      <c r="F98" s="374">
        <f>60-1</f>
        <v>59</v>
      </c>
      <c r="G98" s="639">
        <v>60</v>
      </c>
      <c r="H98" s="374">
        <v>60</v>
      </c>
      <c r="I98" s="374">
        <v>60</v>
      </c>
      <c r="J98" s="375">
        <v>4842.07</v>
      </c>
      <c r="K98" s="375">
        <v>0</v>
      </c>
      <c r="L98" s="375">
        <v>0</v>
      </c>
      <c r="M98" s="375">
        <f t="shared" si="97"/>
        <v>4842.07</v>
      </c>
      <c r="N98" s="375">
        <f>G98*J98</f>
        <v>290524.2</v>
      </c>
      <c r="O98" s="375">
        <f t="shared" si="96"/>
        <v>0</v>
      </c>
      <c r="P98" s="374"/>
      <c r="Q98" s="375">
        <f t="shared" si="98"/>
        <v>0</v>
      </c>
      <c r="R98" s="375"/>
      <c r="S98" s="375"/>
      <c r="T98" s="375">
        <f t="shared" si="91"/>
        <v>290524.2</v>
      </c>
      <c r="U98" s="375">
        <f t="shared" si="92"/>
        <v>290524.2</v>
      </c>
      <c r="V98" s="375">
        <f t="shared" si="92"/>
        <v>290524.2</v>
      </c>
      <c r="AD98" s="83"/>
      <c r="AE98" s="83"/>
      <c r="AF98" s="83"/>
      <c r="AH98" s="83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83"/>
      <c r="BB98" s="83"/>
      <c r="BC98" s="83"/>
      <c r="BD98" s="83"/>
      <c r="BE98" s="83"/>
      <c r="BF98" s="83"/>
      <c r="BG98" s="83"/>
      <c r="BH98" s="83"/>
      <c r="BI98" s="83"/>
      <c r="BJ98" s="83"/>
      <c r="BK98" s="83"/>
      <c r="BL98" s="83"/>
      <c r="BM98" s="83"/>
      <c r="BN98" s="83"/>
      <c r="BO98" s="83"/>
      <c r="BP98" s="83"/>
      <c r="BQ98" s="83"/>
      <c r="BR98" s="83"/>
      <c r="BS98" s="83"/>
      <c r="BT98" s="83"/>
      <c r="BU98" s="83"/>
      <c r="BV98" s="83"/>
      <c r="BW98" s="83"/>
      <c r="BX98" s="83"/>
      <c r="BY98" s="83"/>
      <c r="BZ98" s="83"/>
      <c r="CA98" s="83"/>
      <c r="CB98" s="83"/>
      <c r="CC98" s="83"/>
      <c r="CD98" s="83"/>
      <c r="CE98" s="83"/>
      <c r="CF98" s="83"/>
      <c r="CG98" s="83"/>
      <c r="CH98" s="83"/>
      <c r="CI98" s="83"/>
      <c r="CJ98" s="83"/>
      <c r="CK98" s="83"/>
      <c r="CL98" s="83"/>
      <c r="CM98" s="83"/>
      <c r="CN98" s="83"/>
      <c r="CO98" s="83"/>
      <c r="CP98" s="83"/>
      <c r="CQ98" s="83"/>
      <c r="CR98" s="83"/>
      <c r="CS98" s="83"/>
      <c r="CT98" s="83"/>
      <c r="CU98" s="83"/>
      <c r="CV98" s="83"/>
      <c r="CW98" s="83"/>
      <c r="CX98" s="83"/>
      <c r="CY98" s="83"/>
      <c r="CZ98" s="83"/>
      <c r="DA98" s="83"/>
      <c r="DB98" s="83"/>
      <c r="DC98" s="83"/>
      <c r="DD98" s="83"/>
      <c r="DE98" s="83"/>
      <c r="DF98" s="83"/>
      <c r="DG98" s="83"/>
      <c r="DH98" s="83"/>
      <c r="DI98" s="83"/>
      <c r="DJ98" s="83"/>
      <c r="DK98" s="83"/>
      <c r="DL98" s="83"/>
      <c r="DM98" s="83"/>
      <c r="DN98" s="83"/>
      <c r="DO98" s="83"/>
      <c r="DP98" s="83"/>
      <c r="DQ98" s="83"/>
      <c r="DR98" s="83"/>
      <c r="DS98" s="83"/>
      <c r="DT98" s="83"/>
      <c r="DU98" s="83"/>
      <c r="DV98" s="83"/>
      <c r="DW98" s="83"/>
      <c r="DX98" s="83"/>
      <c r="DY98" s="83"/>
      <c r="DZ98" s="83"/>
      <c r="EA98" s="83"/>
      <c r="EB98" s="83"/>
      <c r="EC98" s="83"/>
      <c r="ED98" s="83"/>
      <c r="EE98" s="83"/>
      <c r="EF98" s="83"/>
      <c r="EG98" s="83"/>
      <c r="EH98" s="83"/>
      <c r="EI98" s="83"/>
      <c r="EJ98" s="83"/>
      <c r="EK98" s="83"/>
      <c r="EL98" s="83"/>
      <c r="EM98" s="83"/>
      <c r="EN98" s="83"/>
      <c r="EO98" s="83"/>
      <c r="EP98" s="83"/>
      <c r="EQ98" s="83"/>
      <c r="ER98" s="83"/>
      <c r="ES98" s="83"/>
      <c r="ET98" s="83"/>
      <c r="EU98" s="83"/>
      <c r="EV98" s="83"/>
      <c r="EW98" s="83"/>
      <c r="EX98" s="83"/>
      <c r="EY98" s="83"/>
      <c r="EZ98" s="83"/>
      <c r="FA98" s="83"/>
      <c r="FB98" s="83"/>
      <c r="FC98" s="83"/>
      <c r="FD98" s="83"/>
      <c r="FE98" s="83"/>
      <c r="FF98" s="83"/>
      <c r="FG98" s="83"/>
      <c r="FH98" s="83"/>
      <c r="FI98" s="83"/>
      <c r="FJ98" s="83"/>
      <c r="FK98" s="83"/>
      <c r="FL98" s="83"/>
      <c r="FM98" s="83"/>
      <c r="FN98" s="83"/>
      <c r="FO98" s="83"/>
      <c r="FP98" s="83"/>
      <c r="FQ98" s="83"/>
      <c r="FR98" s="83"/>
      <c r="FS98" s="83"/>
      <c r="FT98" s="83"/>
      <c r="FU98" s="83"/>
      <c r="FV98" s="83"/>
      <c r="FW98" s="83"/>
      <c r="FX98" s="83"/>
      <c r="FY98" s="83"/>
      <c r="FZ98" s="83"/>
      <c r="GA98" s="83"/>
      <c r="GB98" s="83"/>
      <c r="GC98" s="83"/>
      <c r="GD98" s="83"/>
      <c r="GE98" s="83"/>
      <c r="GF98" s="83"/>
      <c r="GG98" s="83"/>
      <c r="GH98" s="83"/>
      <c r="GI98" s="83"/>
      <c r="GJ98" s="83"/>
      <c r="GK98" s="83"/>
      <c r="GL98" s="83"/>
      <c r="GM98" s="83"/>
      <c r="GN98" s="83"/>
      <c r="GO98" s="83"/>
      <c r="GP98" s="83"/>
      <c r="GQ98" s="83"/>
      <c r="GR98" s="83"/>
      <c r="GS98" s="83"/>
      <c r="GT98" s="83"/>
      <c r="GU98" s="83"/>
      <c r="GV98" s="83"/>
      <c r="GW98" s="83"/>
      <c r="GX98" s="83"/>
      <c r="GY98" s="83"/>
      <c r="GZ98" s="83"/>
      <c r="HA98" s="83"/>
      <c r="HB98" s="83"/>
      <c r="HC98" s="83"/>
      <c r="HD98" s="83"/>
      <c r="HE98" s="83"/>
      <c r="HF98" s="83"/>
      <c r="HG98" s="83"/>
      <c r="HH98" s="83"/>
      <c r="HI98" s="83"/>
      <c r="HJ98" s="83"/>
      <c r="HK98" s="83"/>
      <c r="HL98" s="83"/>
      <c r="HM98" s="83"/>
      <c r="HN98" s="83"/>
      <c r="HO98" s="83"/>
      <c r="HP98" s="83"/>
      <c r="HQ98" s="83"/>
      <c r="HR98" s="83"/>
      <c r="HS98" s="83"/>
      <c r="HT98" s="83"/>
      <c r="HU98" s="83"/>
      <c r="HV98" s="83"/>
      <c r="HW98" s="83"/>
      <c r="HX98" s="83"/>
      <c r="HY98" s="83"/>
      <c r="HZ98" s="83"/>
      <c r="IA98" s="83"/>
      <c r="IB98" s="83"/>
      <c r="IC98" s="83"/>
      <c r="ID98" s="83"/>
      <c r="IE98" s="83"/>
      <c r="IF98" s="83"/>
      <c r="IG98" s="83"/>
      <c r="IH98" s="83"/>
      <c r="II98" s="83"/>
      <c r="IJ98" s="83"/>
      <c r="IK98" s="83"/>
      <c r="IL98" s="83"/>
      <c r="IM98" s="83"/>
      <c r="IN98" s="83"/>
      <c r="IO98" s="83"/>
      <c r="IP98" s="83"/>
      <c r="IQ98" s="83"/>
      <c r="IR98" s="83"/>
      <c r="IS98" s="83"/>
      <c r="IT98" s="83"/>
      <c r="IU98" s="83"/>
      <c r="IV98" s="83"/>
      <c r="IW98" s="83"/>
      <c r="IX98" s="83"/>
      <c r="IY98" s="83"/>
      <c r="IZ98" s="83"/>
      <c r="JA98" s="83"/>
      <c r="JB98" s="83"/>
      <c r="JC98" s="83"/>
      <c r="JD98" s="83"/>
      <c r="JE98" s="83"/>
      <c r="JF98" s="83"/>
      <c r="JG98" s="83"/>
      <c r="JH98" s="83"/>
      <c r="JI98" s="83"/>
      <c r="JJ98" s="83"/>
      <c r="JK98" s="83"/>
      <c r="JL98" s="83"/>
      <c r="JM98" s="83"/>
      <c r="JN98" s="83"/>
      <c r="JO98" s="83"/>
      <c r="JP98" s="83"/>
      <c r="JQ98" s="83"/>
      <c r="JR98" s="83"/>
      <c r="JS98" s="83"/>
      <c r="JT98" s="83"/>
      <c r="JU98" s="83"/>
      <c r="JV98" s="83"/>
      <c r="JW98" s="83"/>
      <c r="JX98" s="83"/>
      <c r="JY98" s="83"/>
      <c r="JZ98" s="83"/>
      <c r="KA98" s="83"/>
      <c r="KB98" s="83"/>
      <c r="KC98" s="83"/>
      <c r="KD98" s="83"/>
      <c r="KE98" s="83"/>
      <c r="KF98" s="83"/>
      <c r="KG98" s="83"/>
      <c r="KH98" s="83"/>
      <c r="KI98" s="83"/>
      <c r="KJ98" s="83"/>
      <c r="KK98" s="83"/>
      <c r="KL98" s="83"/>
      <c r="KM98" s="83"/>
      <c r="KN98" s="83"/>
      <c r="KO98" s="83"/>
      <c r="KP98" s="83"/>
      <c r="KQ98" s="83"/>
      <c r="KR98" s="83"/>
      <c r="KS98" s="83"/>
      <c r="KT98" s="83"/>
      <c r="KU98" s="83"/>
      <c r="KV98" s="83"/>
      <c r="KW98" s="83"/>
      <c r="KX98" s="83"/>
      <c r="KY98" s="83"/>
      <c r="KZ98" s="83"/>
      <c r="LA98" s="83"/>
      <c r="LB98" s="83"/>
      <c r="LC98" s="83"/>
      <c r="LD98" s="83"/>
      <c r="LE98" s="83"/>
      <c r="LF98" s="83"/>
      <c r="LG98" s="83"/>
      <c r="LH98" s="83"/>
      <c r="LI98" s="83"/>
      <c r="LJ98" s="83"/>
      <c r="LK98" s="83"/>
      <c r="LL98" s="83"/>
      <c r="LM98" s="83"/>
      <c r="LN98" s="83"/>
      <c r="LO98" s="83"/>
      <c r="LP98" s="83"/>
      <c r="LQ98" s="83"/>
      <c r="LR98" s="83"/>
      <c r="LS98" s="83"/>
      <c r="LT98" s="83"/>
      <c r="LU98" s="83"/>
      <c r="LV98" s="83"/>
      <c r="LW98" s="83"/>
      <c r="LX98" s="83"/>
      <c r="LY98" s="83"/>
      <c r="LZ98" s="83"/>
      <c r="MA98" s="83"/>
      <c r="MB98" s="83"/>
      <c r="MC98" s="83"/>
      <c r="MD98" s="83"/>
      <c r="ME98" s="83"/>
      <c r="MF98" s="83"/>
      <c r="MG98" s="83"/>
      <c r="MH98" s="83"/>
      <c r="MI98" s="83"/>
      <c r="MJ98" s="83"/>
      <c r="MK98" s="83"/>
      <c r="ML98" s="83"/>
      <c r="MM98" s="83"/>
      <c r="MN98" s="83"/>
      <c r="MO98" s="83"/>
      <c r="MP98" s="83"/>
      <c r="MQ98" s="83"/>
      <c r="MR98" s="83"/>
      <c r="MS98" s="83"/>
      <c r="MT98" s="83"/>
      <c r="MU98" s="83"/>
      <c r="MV98" s="83"/>
      <c r="MW98" s="83"/>
      <c r="MX98" s="83"/>
      <c r="MY98" s="83"/>
      <c r="MZ98" s="83"/>
      <c r="NA98" s="83"/>
      <c r="NB98" s="83"/>
      <c r="NC98" s="83"/>
      <c r="ND98" s="83"/>
      <c r="NE98" s="83"/>
      <c r="NF98" s="83"/>
      <c r="NG98" s="83"/>
    </row>
    <row r="99" spans="1:371" ht="58.95" customHeight="1" x14ac:dyDescent="0.25">
      <c r="A99" s="92" t="s">
        <v>132</v>
      </c>
      <c r="B99" s="97" t="s">
        <v>133</v>
      </c>
      <c r="C99" s="97" t="s">
        <v>54</v>
      </c>
      <c r="D99" s="629" t="s">
        <v>130</v>
      </c>
      <c r="E99" s="104">
        <f>E90+E92+E93+E94+E91</f>
        <v>105</v>
      </c>
      <c r="F99" s="673">
        <f t="shared" ref="F99:I99" si="99">F90+F92+F93+F94+F91</f>
        <v>97</v>
      </c>
      <c r="G99" s="104">
        <f>G90+G92+G93+G94+G91</f>
        <v>97</v>
      </c>
      <c r="H99" s="104">
        <f t="shared" si="99"/>
        <v>97</v>
      </c>
      <c r="I99" s="104">
        <f t="shared" si="99"/>
        <v>97</v>
      </c>
      <c r="J99" s="99"/>
      <c r="K99" s="99">
        <v>0</v>
      </c>
      <c r="L99" s="101">
        <f>61511.06</f>
        <v>61511.06</v>
      </c>
      <c r="M99" s="98">
        <f t="shared" si="97"/>
        <v>61511.06</v>
      </c>
      <c r="N99" s="98">
        <f t="shared" si="90"/>
        <v>0</v>
      </c>
      <c r="O99" s="99">
        <f>G99*K99</f>
        <v>0</v>
      </c>
      <c r="P99" s="109"/>
      <c r="Q99" s="811">
        <f>G99*L99</f>
        <v>5966572.8200000003</v>
      </c>
      <c r="R99" s="99"/>
      <c r="S99" s="99"/>
      <c r="T99" s="102">
        <f t="shared" si="91"/>
        <v>5966572.8200000003</v>
      </c>
      <c r="U99" s="98">
        <f>H99*L99</f>
        <v>5966572.8200000003</v>
      </c>
      <c r="V99" s="98">
        <f>I99*L99</f>
        <v>5966572.8200000003</v>
      </c>
    </row>
    <row r="100" spans="1:371" ht="24.6" customHeight="1" x14ac:dyDescent="0.25">
      <c r="A100" s="483" t="s">
        <v>513</v>
      </c>
      <c r="B100" s="97" t="s">
        <v>133</v>
      </c>
      <c r="C100" s="97" t="s">
        <v>134</v>
      </c>
      <c r="D100" s="629"/>
      <c r="E100" s="109"/>
      <c r="F100" s="104"/>
      <c r="G100" s="113">
        <f>G99</f>
        <v>97</v>
      </c>
      <c r="H100" s="113">
        <f>H99</f>
        <v>97</v>
      </c>
      <c r="I100" s="113">
        <f>I99</f>
        <v>97</v>
      </c>
      <c r="J100" s="99"/>
      <c r="K100" s="99">
        <v>0</v>
      </c>
      <c r="L100" s="101">
        <v>20437.68</v>
      </c>
      <c r="M100" s="98">
        <f t="shared" si="97"/>
        <v>20437.68</v>
      </c>
      <c r="N100" s="109"/>
      <c r="O100" s="98"/>
      <c r="P100" s="109"/>
      <c r="Q100" s="99"/>
      <c r="R100" s="99"/>
      <c r="S100" s="811">
        <f>G100*L100</f>
        <v>1982454.96</v>
      </c>
      <c r="T100" s="102">
        <f>S100</f>
        <v>1982454.96</v>
      </c>
      <c r="U100" s="98">
        <f>H100*L100</f>
        <v>1982454.96</v>
      </c>
      <c r="V100" s="98">
        <f>I100*L100</f>
        <v>1982454.96</v>
      </c>
    </row>
    <row r="101" spans="1:371" ht="28.95" customHeight="1" x14ac:dyDescent="0.25">
      <c r="A101" s="895" t="s">
        <v>643</v>
      </c>
      <c r="B101" s="897" t="s">
        <v>512</v>
      </c>
      <c r="C101" s="661"/>
      <c r="D101" s="734" t="s">
        <v>24</v>
      </c>
      <c r="E101" s="735"/>
      <c r="F101" s="735">
        <v>24</v>
      </c>
      <c r="G101" s="744">
        <v>24</v>
      </c>
      <c r="H101" s="744">
        <v>24</v>
      </c>
      <c r="I101" s="735">
        <v>0</v>
      </c>
      <c r="J101" s="738">
        <v>0</v>
      </c>
      <c r="K101" s="738"/>
      <c r="L101" s="739"/>
      <c r="M101" s="738">
        <f>J101+K101+L101</f>
        <v>0</v>
      </c>
      <c r="N101" s="738">
        <f>G101*J101</f>
        <v>0</v>
      </c>
      <c r="O101" s="738"/>
      <c r="P101" s="735"/>
      <c r="Q101" s="738"/>
      <c r="R101" s="738"/>
      <c r="S101" s="740"/>
      <c r="T101" s="738">
        <f>SUM(N101:Q101)</f>
        <v>0</v>
      </c>
      <c r="U101" s="740"/>
      <c r="V101" s="740"/>
    </row>
    <row r="102" spans="1:371" ht="30" customHeight="1" x14ac:dyDescent="0.25">
      <c r="A102" s="896"/>
      <c r="B102" s="898"/>
      <c r="C102" s="662" t="s">
        <v>636</v>
      </c>
      <c r="D102" s="741" t="s">
        <v>232</v>
      </c>
      <c r="E102" s="735">
        <v>0</v>
      </c>
      <c r="F102" s="735">
        <f>26*F101</f>
        <v>624</v>
      </c>
      <c r="G102" s="736">
        <f>14*2*G101</f>
        <v>672</v>
      </c>
      <c r="H102" s="736">
        <f>18*2*H101</f>
        <v>864</v>
      </c>
      <c r="I102" s="735">
        <v>0</v>
      </c>
      <c r="J102" s="737">
        <v>341.25</v>
      </c>
      <c r="K102" s="738"/>
      <c r="L102" s="739"/>
      <c r="M102" s="738">
        <f>J102+K102+L102</f>
        <v>341.25</v>
      </c>
      <c r="N102" s="737">
        <f>G102*J102+629.2</f>
        <v>229949.2</v>
      </c>
      <c r="O102" s="738"/>
      <c r="P102" s="735"/>
      <c r="Q102" s="738"/>
      <c r="R102" s="738"/>
      <c r="S102" s="740"/>
      <c r="T102" s="737">
        <f>SUM(N102:Q102)</f>
        <v>229949.2</v>
      </c>
      <c r="U102" s="737">
        <f>H102*J102+409.57</f>
        <v>295249.57</v>
      </c>
      <c r="V102" s="738">
        <f>I102*J102</f>
        <v>0</v>
      </c>
    </row>
    <row r="103" spans="1:371" ht="24.6" customHeight="1" x14ac:dyDescent="0.25">
      <c r="A103" s="97"/>
      <c r="B103" s="97"/>
      <c r="C103" s="420" t="s">
        <v>38</v>
      </c>
      <c r="D103" s="629"/>
      <c r="E103" s="109"/>
      <c r="F103" s="104">
        <v>24</v>
      </c>
      <c r="G103" s="108">
        <f>G101</f>
        <v>24</v>
      </c>
      <c r="H103" s="674">
        <f>H101</f>
        <v>24</v>
      </c>
      <c r="I103" s="104">
        <f>I101</f>
        <v>0</v>
      </c>
      <c r="J103" s="99" t="s">
        <v>26</v>
      </c>
      <c r="K103" s="98" t="s">
        <v>26</v>
      </c>
      <c r="L103" s="101" t="s">
        <v>26</v>
      </c>
      <c r="M103" s="98"/>
      <c r="N103" s="109"/>
      <c r="O103" s="98"/>
      <c r="P103" s="109"/>
      <c r="Q103" s="99"/>
      <c r="R103" s="99"/>
      <c r="S103" s="105"/>
      <c r="T103" s="106"/>
      <c r="U103" s="106"/>
      <c r="V103" s="106"/>
    </row>
    <row r="104" spans="1:371" ht="29.4" customHeight="1" x14ac:dyDescent="0.25">
      <c r="A104" s="96" t="s">
        <v>146</v>
      </c>
      <c r="B104" s="96"/>
      <c r="C104" s="96"/>
      <c r="D104" s="111"/>
      <c r="E104" s="112"/>
      <c r="F104" s="113"/>
      <c r="G104" s="113"/>
      <c r="H104" s="112"/>
      <c r="I104" s="112"/>
      <c r="J104" s="101"/>
      <c r="K104" s="98"/>
      <c r="L104" s="101"/>
      <c r="M104" s="98">
        <f t="shared" si="97"/>
        <v>0</v>
      </c>
      <c r="N104" s="107">
        <f>N105+N145</f>
        <v>20465281.649999999</v>
      </c>
      <c r="O104" s="101">
        <f>O105</f>
        <v>10016302.130000001</v>
      </c>
      <c r="P104" s="101"/>
      <c r="Q104" s="804">
        <f>Q105+Q136</f>
        <v>13521227.539999999</v>
      </c>
      <c r="R104" s="101"/>
      <c r="S104" s="101">
        <f>S137</f>
        <v>2064205.68</v>
      </c>
      <c r="T104" s="107">
        <f>T105+T136+T137+T145</f>
        <v>44005777.799999997</v>
      </c>
      <c r="U104" s="372">
        <f>U105+U136+U137+U145</f>
        <v>43856426.060000002</v>
      </c>
      <c r="V104" s="102">
        <f>V105+V136+V137+V145</f>
        <v>43744353.119999997</v>
      </c>
      <c r="W104" s="83">
        <v>11124194.529999999</v>
      </c>
      <c r="X104" s="93">
        <f>W104-Q104</f>
        <v>-2397033.0099999998</v>
      </c>
      <c r="Y104" s="83">
        <f>X104/G136</f>
        <v>-23733.0000990099</v>
      </c>
      <c r="AA104" s="83">
        <v>11727438.529999999</v>
      </c>
      <c r="AB104" s="93">
        <f>AA104-Q104</f>
        <v>-1793789.01</v>
      </c>
      <c r="AC104" s="103">
        <f>AB104/I136</f>
        <v>-17760.287228000001</v>
      </c>
    </row>
    <row r="105" spans="1:371" ht="79.2" customHeight="1" x14ac:dyDescent="0.25">
      <c r="A105" s="92" t="s">
        <v>127</v>
      </c>
      <c r="B105" s="87" t="s">
        <v>128</v>
      </c>
      <c r="C105" s="87"/>
      <c r="D105" s="629"/>
      <c r="E105" s="109"/>
      <c r="F105" s="104"/>
      <c r="G105" s="104"/>
      <c r="H105" s="109"/>
      <c r="I105" s="109"/>
      <c r="J105" s="99"/>
      <c r="K105" s="98"/>
      <c r="L105" s="99"/>
      <c r="M105" s="98"/>
      <c r="N105" s="98">
        <f>SUM(N107:N135)</f>
        <v>20228672.600000001</v>
      </c>
      <c r="O105" s="98">
        <f>SUM(O106:O135)</f>
        <v>10016302.130000001</v>
      </c>
      <c r="P105" s="98">
        <f>P107+P123+P135+P118+P109+P131+P125+P113+P108+P119+P124+P126+P128+P132</f>
        <v>0</v>
      </c>
      <c r="Q105" s="102">
        <f>SUM(Q107:Q135)</f>
        <v>7308610.4800000004</v>
      </c>
      <c r="R105" s="98">
        <f>R107+R123+R135+R118+R109+R131+R125+R113+R108+R119+R124+R126+R128+R132</f>
        <v>0</v>
      </c>
      <c r="S105" s="98">
        <f>S107+S123+S135+S118+S109+S131+S125+S113+S108+S119+S124+S126+S128+S132</f>
        <v>0</v>
      </c>
      <c r="T105" s="102">
        <f>SUM(T107:T135)</f>
        <v>35492346.009999998</v>
      </c>
      <c r="U105" s="98">
        <f>SUM(U107:U135)</f>
        <v>35467530.380000003</v>
      </c>
      <c r="V105" s="98">
        <f>SUM(V107:V135)</f>
        <v>35467530.380000003</v>
      </c>
      <c r="W105" s="93">
        <v>35333149.530000001</v>
      </c>
      <c r="AA105" s="93">
        <f>35333149.53+U137</f>
        <v>37397355.210000001</v>
      </c>
      <c r="AB105" s="93">
        <f>U104-AA105</f>
        <v>6459070.8499999996</v>
      </c>
    </row>
    <row r="106" spans="1:371" ht="33" customHeight="1" x14ac:dyDescent="0.25">
      <c r="A106" s="87" t="s">
        <v>474</v>
      </c>
      <c r="B106" s="96" t="s">
        <v>157</v>
      </c>
      <c r="C106" s="815"/>
      <c r="D106" s="629" t="s">
        <v>130</v>
      </c>
      <c r="E106" s="109"/>
      <c r="F106" s="104"/>
      <c r="G106" s="104">
        <v>8</v>
      </c>
      <c r="H106" s="109">
        <v>8</v>
      </c>
      <c r="I106" s="109">
        <v>8</v>
      </c>
      <c r="J106" s="99">
        <v>0</v>
      </c>
      <c r="K106" s="98">
        <v>257654.9</v>
      </c>
      <c r="L106" s="99">
        <v>0</v>
      </c>
      <c r="M106" s="98">
        <f>J106+K106+L106</f>
        <v>257654.9</v>
      </c>
      <c r="N106" s="98">
        <v>0</v>
      </c>
      <c r="O106" s="98">
        <f>K106*G106</f>
        <v>2061239.2</v>
      </c>
      <c r="P106" s="98"/>
      <c r="Q106" s="102">
        <v>0</v>
      </c>
      <c r="R106" s="98"/>
      <c r="S106" s="98">
        <v>0</v>
      </c>
      <c r="T106" s="102">
        <v>0</v>
      </c>
      <c r="U106" s="98">
        <v>0</v>
      </c>
      <c r="V106" s="98">
        <v>0</v>
      </c>
      <c r="W106" s="93"/>
      <c r="AA106" s="93"/>
      <c r="AB106" s="93"/>
    </row>
    <row r="107" spans="1:371" ht="58.95" customHeight="1" x14ac:dyDescent="0.25">
      <c r="A107" s="92"/>
      <c r="B107" s="97" t="s">
        <v>129</v>
      </c>
      <c r="C107" s="872" t="s">
        <v>448</v>
      </c>
      <c r="D107" s="629" t="s">
        <v>130</v>
      </c>
      <c r="E107" s="104">
        <v>0</v>
      </c>
      <c r="F107" s="113">
        <v>0</v>
      </c>
      <c r="G107" s="104">
        <v>0</v>
      </c>
      <c r="H107" s="104">
        <v>0</v>
      </c>
      <c r="I107" s="104">
        <v>0</v>
      </c>
      <c r="J107" s="99">
        <v>86493.99</v>
      </c>
      <c r="K107" s="98">
        <f>33955.33+14682.07</f>
        <v>48637.4</v>
      </c>
      <c r="L107" s="101">
        <v>72362.48</v>
      </c>
      <c r="M107" s="98">
        <f>J107+K107+L107</f>
        <v>207493.87</v>
      </c>
      <c r="N107" s="98">
        <f>G107*J107</f>
        <v>0</v>
      </c>
      <c r="O107" s="98">
        <f>G107*K107</f>
        <v>0</v>
      </c>
      <c r="P107" s="98"/>
      <c r="Q107" s="99">
        <f t="shared" ref="Q107:Q135" si="100">G107*L107</f>
        <v>0</v>
      </c>
      <c r="R107" s="99"/>
      <c r="S107" s="99"/>
      <c r="T107" s="98">
        <f>SUM(N107:Q107)</f>
        <v>0</v>
      </c>
      <c r="U107" s="98">
        <f t="shared" ref="U107:V128" si="101">T107</f>
        <v>0</v>
      </c>
      <c r="V107" s="98">
        <f t="shared" si="101"/>
        <v>0</v>
      </c>
      <c r="X107" s="93">
        <f>W105-U104</f>
        <v>-8523276.5299999993</v>
      </c>
      <c r="AA107" s="93"/>
    </row>
    <row r="108" spans="1:371" ht="43.95" customHeight="1" x14ac:dyDescent="0.25">
      <c r="A108" s="92"/>
      <c r="B108" s="97" t="s">
        <v>352</v>
      </c>
      <c r="C108" s="873"/>
      <c r="D108" s="629" t="s">
        <v>130</v>
      </c>
      <c r="E108" s="104">
        <v>0</v>
      </c>
      <c r="F108" s="113">
        <v>0</v>
      </c>
      <c r="G108" s="104">
        <v>0</v>
      </c>
      <c r="H108" s="104">
        <v>0</v>
      </c>
      <c r="I108" s="104">
        <v>0</v>
      </c>
      <c r="J108" s="99">
        <v>62820.88</v>
      </c>
      <c r="K108" s="98">
        <f>33955.33+14682.07</f>
        <v>48637.4</v>
      </c>
      <c r="L108" s="101">
        <v>72362.48</v>
      </c>
      <c r="M108" s="98">
        <f t="shared" si="97"/>
        <v>183820.76</v>
      </c>
      <c r="N108" s="98">
        <f t="shared" ref="N108:N132" si="102">G108*J108</f>
        <v>0</v>
      </c>
      <c r="O108" s="98">
        <f t="shared" ref="O108:O123" si="103">G108*K108</f>
        <v>0</v>
      </c>
      <c r="P108" s="98"/>
      <c r="Q108" s="99">
        <f t="shared" si="100"/>
        <v>0</v>
      </c>
      <c r="R108" s="99"/>
      <c r="S108" s="99"/>
      <c r="T108" s="98">
        <f t="shared" ref="T108:T131" si="104">SUM(N108:Q108)</f>
        <v>0</v>
      </c>
      <c r="U108" s="98">
        <f t="shared" si="101"/>
        <v>0</v>
      </c>
      <c r="V108" s="98">
        <f t="shared" si="101"/>
        <v>0</v>
      </c>
      <c r="X108" s="93"/>
      <c r="AA108" s="93"/>
    </row>
    <row r="109" spans="1:371" ht="20.399999999999999" customHeight="1" x14ac:dyDescent="0.25">
      <c r="A109" s="92"/>
      <c r="B109" s="97" t="s">
        <v>332</v>
      </c>
      <c r="C109" s="872" t="s">
        <v>602</v>
      </c>
      <c r="D109" s="629" t="s">
        <v>130</v>
      </c>
      <c r="E109" s="104">
        <v>26</v>
      </c>
      <c r="F109" s="579">
        <f>14</f>
        <v>14</v>
      </c>
      <c r="G109" s="104">
        <v>11</v>
      </c>
      <c r="H109" s="104">
        <v>11</v>
      </c>
      <c r="I109" s="104">
        <v>11</v>
      </c>
      <c r="J109" s="99">
        <v>245948.56</v>
      </c>
      <c r="K109" s="98">
        <f>64533.72+18402.51*2</f>
        <v>101338.74</v>
      </c>
      <c r="L109" s="101">
        <v>72362.48</v>
      </c>
      <c r="M109" s="98">
        <f t="shared" si="97"/>
        <v>419649.78</v>
      </c>
      <c r="N109" s="98">
        <f>G109*J109</f>
        <v>2705434.16</v>
      </c>
      <c r="O109" s="98">
        <f>G109*K109</f>
        <v>1114726.1399999999</v>
      </c>
      <c r="P109" s="109"/>
      <c r="Q109" s="99">
        <f t="shared" si="100"/>
        <v>795987.28</v>
      </c>
      <c r="R109" s="99"/>
      <c r="S109" s="99"/>
      <c r="T109" s="98">
        <f t="shared" si="104"/>
        <v>4616147.58</v>
      </c>
      <c r="U109" s="98">
        <f t="shared" si="101"/>
        <v>4616147.58</v>
      </c>
      <c r="V109" s="98">
        <f t="shared" si="101"/>
        <v>4616147.58</v>
      </c>
    </row>
    <row r="110" spans="1:371" ht="20.399999999999999" customHeight="1" x14ac:dyDescent="0.25">
      <c r="A110" s="92"/>
      <c r="B110" s="97" t="s">
        <v>529</v>
      </c>
      <c r="C110" s="901"/>
      <c r="D110" s="629"/>
      <c r="E110" s="104">
        <v>0</v>
      </c>
      <c r="F110" s="579">
        <v>2</v>
      </c>
      <c r="G110" s="104">
        <v>7</v>
      </c>
      <c r="H110" s="104">
        <v>7</v>
      </c>
      <c r="I110" s="104">
        <v>7</v>
      </c>
      <c r="J110" s="99">
        <v>490621.77</v>
      </c>
      <c r="K110" s="98">
        <f>144406.74+18402.51*4</f>
        <v>218016.78</v>
      </c>
      <c r="L110" s="101">
        <v>72362.48</v>
      </c>
      <c r="M110" s="98">
        <f t="shared" ref="M110" si="105">J110+K110+L110</f>
        <v>781001.03</v>
      </c>
      <c r="N110" s="98">
        <f>G110*J110</f>
        <v>3434352.39</v>
      </c>
      <c r="O110" s="98">
        <f>G110*K110</f>
        <v>1526117.46</v>
      </c>
      <c r="P110" s="109"/>
      <c r="Q110" s="99">
        <f t="shared" ref="Q110" si="106">G110*L110</f>
        <v>506537.36</v>
      </c>
      <c r="R110" s="99"/>
      <c r="S110" s="99"/>
      <c r="T110" s="98">
        <f t="shared" ref="T110" si="107">SUM(N110:Q110)</f>
        <v>5467007.21</v>
      </c>
      <c r="U110" s="98">
        <f t="shared" ref="U110" si="108">T110</f>
        <v>5467007.21</v>
      </c>
      <c r="V110" s="98">
        <f t="shared" ref="V110" si="109">U110</f>
        <v>5467007.21</v>
      </c>
    </row>
    <row r="111" spans="1:371" ht="20.399999999999999" customHeight="1" x14ac:dyDescent="0.25">
      <c r="A111" s="373" t="s">
        <v>341</v>
      </c>
      <c r="B111" s="97" t="s">
        <v>529</v>
      </c>
      <c r="C111" s="901"/>
      <c r="D111" s="629"/>
      <c r="E111" s="104">
        <v>0</v>
      </c>
      <c r="F111" s="579">
        <v>5</v>
      </c>
      <c r="G111" s="104">
        <v>0</v>
      </c>
      <c r="H111" s="104">
        <v>0</v>
      </c>
      <c r="I111" s="104">
        <v>0</v>
      </c>
      <c r="J111" s="99">
        <v>490621.77</v>
      </c>
      <c r="K111" s="98">
        <f>157189.95+15452.52*4</f>
        <v>219000.03</v>
      </c>
      <c r="L111" s="101">
        <v>72362.48</v>
      </c>
      <c r="M111" s="98">
        <f t="shared" ref="M111" si="110">J111+K111+L111</f>
        <v>781984.28</v>
      </c>
      <c r="N111" s="98">
        <f>G111*J111</f>
        <v>0</v>
      </c>
      <c r="O111" s="98">
        <f>G111*K111</f>
        <v>0</v>
      </c>
      <c r="P111" s="109"/>
      <c r="Q111" s="99">
        <f t="shared" ref="Q111" si="111">G111*L111</f>
        <v>0</v>
      </c>
      <c r="R111" s="99"/>
      <c r="S111" s="99"/>
      <c r="T111" s="98">
        <f t="shared" ref="T111" si="112">SUM(N111:Q111)</f>
        <v>0</v>
      </c>
      <c r="U111" s="98">
        <f t="shared" ref="U111" si="113">T111</f>
        <v>0</v>
      </c>
      <c r="V111" s="98">
        <f t="shared" ref="V111" si="114">U111</f>
        <v>0</v>
      </c>
    </row>
    <row r="112" spans="1:371" ht="25.2" customHeight="1" x14ac:dyDescent="0.25">
      <c r="A112" s="373" t="s">
        <v>341</v>
      </c>
      <c r="B112" s="97" t="s">
        <v>449</v>
      </c>
      <c r="C112" s="916"/>
      <c r="D112" s="629" t="s">
        <v>130</v>
      </c>
      <c r="E112" s="104">
        <v>1</v>
      </c>
      <c r="F112" s="579">
        <v>0</v>
      </c>
      <c r="G112" s="104">
        <v>0</v>
      </c>
      <c r="H112" s="104">
        <v>0</v>
      </c>
      <c r="I112" s="104">
        <v>0</v>
      </c>
      <c r="J112" s="99">
        <v>307116.86</v>
      </c>
      <c r="K112" s="98">
        <f>116987.52+15452.52*2.5</f>
        <v>155618.82</v>
      </c>
      <c r="L112" s="101">
        <v>72362.48</v>
      </c>
      <c r="M112" s="98">
        <f t="shared" si="97"/>
        <v>535098.16</v>
      </c>
      <c r="N112" s="98">
        <f>G112*J112</f>
        <v>0</v>
      </c>
      <c r="O112" s="98">
        <f t="shared" si="103"/>
        <v>0</v>
      </c>
      <c r="P112" s="98"/>
      <c r="Q112" s="99">
        <f t="shared" si="100"/>
        <v>0</v>
      </c>
      <c r="R112" s="99"/>
      <c r="S112" s="99"/>
      <c r="T112" s="98">
        <f t="shared" si="104"/>
        <v>0</v>
      </c>
      <c r="U112" s="98">
        <f t="shared" si="101"/>
        <v>0</v>
      </c>
      <c r="V112" s="98">
        <f t="shared" si="101"/>
        <v>0</v>
      </c>
    </row>
    <row r="113" spans="1:514" ht="25.95" customHeight="1" x14ac:dyDescent="0.25">
      <c r="A113" s="373" t="s">
        <v>341</v>
      </c>
      <c r="B113" s="97" t="s">
        <v>339</v>
      </c>
      <c r="C113" s="916"/>
      <c r="D113" s="629" t="s">
        <v>130</v>
      </c>
      <c r="E113" s="104">
        <v>5</v>
      </c>
      <c r="F113" s="579">
        <f>5</f>
        <v>5</v>
      </c>
      <c r="G113" s="104">
        <v>2</v>
      </c>
      <c r="H113" s="104">
        <v>2</v>
      </c>
      <c r="I113" s="104">
        <v>2</v>
      </c>
      <c r="J113" s="99">
        <v>307116.86</v>
      </c>
      <c r="K113" s="98">
        <f>80637.16+18402.51*2.5</f>
        <v>126643.44</v>
      </c>
      <c r="L113" s="101">
        <v>72362.48</v>
      </c>
      <c r="M113" s="98">
        <f t="shared" si="97"/>
        <v>506122.78</v>
      </c>
      <c r="N113" s="98">
        <f>G113*J113</f>
        <v>614233.72</v>
      </c>
      <c r="O113" s="98">
        <f>G113*K113</f>
        <v>253286.88</v>
      </c>
      <c r="P113" s="98"/>
      <c r="Q113" s="99">
        <f t="shared" si="100"/>
        <v>144724.96</v>
      </c>
      <c r="R113" s="99"/>
      <c r="S113" s="99"/>
      <c r="T113" s="98">
        <f t="shared" si="104"/>
        <v>1012245.56</v>
      </c>
      <c r="U113" s="98">
        <f t="shared" si="101"/>
        <v>1012245.56</v>
      </c>
      <c r="V113" s="98">
        <f t="shared" si="101"/>
        <v>1012245.56</v>
      </c>
    </row>
    <row r="114" spans="1:514" ht="25.2" customHeight="1" x14ac:dyDescent="0.25">
      <c r="A114" s="373" t="s">
        <v>341</v>
      </c>
      <c r="B114" s="97" t="s">
        <v>339</v>
      </c>
      <c r="C114" s="916"/>
      <c r="D114" s="629" t="s">
        <v>130</v>
      </c>
      <c r="E114" s="104">
        <v>2</v>
      </c>
      <c r="F114" s="579">
        <v>0</v>
      </c>
      <c r="G114" s="104">
        <v>3</v>
      </c>
      <c r="H114" s="104">
        <v>3</v>
      </c>
      <c r="I114" s="104">
        <v>3</v>
      </c>
      <c r="J114" s="99">
        <v>307116.86</v>
      </c>
      <c r="K114" s="98">
        <f>80637.16+18402.51*2.5</f>
        <v>126643.44</v>
      </c>
      <c r="L114" s="101">
        <v>72362.48</v>
      </c>
      <c r="M114" s="98">
        <f t="shared" si="97"/>
        <v>506122.78</v>
      </c>
      <c r="N114" s="98">
        <f t="shared" ref="N114:N124" si="115">G114*J114</f>
        <v>921350.58</v>
      </c>
      <c r="O114" s="98">
        <f>G114*K114</f>
        <v>379930.32</v>
      </c>
      <c r="P114" s="98"/>
      <c r="Q114" s="99">
        <f t="shared" si="100"/>
        <v>217087.44</v>
      </c>
      <c r="R114" s="99"/>
      <c r="S114" s="99"/>
      <c r="T114" s="98">
        <f t="shared" si="104"/>
        <v>1518368.34</v>
      </c>
      <c r="U114" s="98">
        <f t="shared" si="101"/>
        <v>1518368.34</v>
      </c>
      <c r="V114" s="98">
        <f t="shared" si="101"/>
        <v>1518368.34</v>
      </c>
    </row>
    <row r="115" spans="1:514" ht="25.2" customHeight="1" x14ac:dyDescent="0.25">
      <c r="A115" s="373" t="s">
        <v>341</v>
      </c>
      <c r="B115" s="97" t="s">
        <v>621</v>
      </c>
      <c r="C115" s="916"/>
      <c r="D115" s="629" t="s">
        <v>130</v>
      </c>
      <c r="E115" s="104">
        <v>0</v>
      </c>
      <c r="F115" s="579">
        <f>8-7</f>
        <v>1</v>
      </c>
      <c r="G115" s="104">
        <v>2</v>
      </c>
      <c r="H115" s="104">
        <v>2</v>
      </c>
      <c r="I115" s="104">
        <v>2</v>
      </c>
      <c r="J115" s="99">
        <v>490621.77</v>
      </c>
      <c r="K115" s="98">
        <f>144406.74+18402.51*4</f>
        <v>218016.78</v>
      </c>
      <c r="L115" s="101">
        <v>72362.48</v>
      </c>
      <c r="M115" s="98">
        <f t="shared" ref="M115" si="116">J115+K115+L115</f>
        <v>781001.03</v>
      </c>
      <c r="N115" s="98">
        <f>G115*J115</f>
        <v>981243.54</v>
      </c>
      <c r="O115" s="98">
        <f>G115*K115</f>
        <v>436033.56</v>
      </c>
      <c r="P115" s="98"/>
      <c r="Q115" s="99">
        <f t="shared" ref="Q115" si="117">G115*L115</f>
        <v>144724.96</v>
      </c>
      <c r="R115" s="99"/>
      <c r="S115" s="99"/>
      <c r="T115" s="98">
        <f t="shared" ref="T115" si="118">SUM(N115:Q115)</f>
        <v>1562002.06</v>
      </c>
      <c r="U115" s="98">
        <f t="shared" ref="U115" si="119">T115</f>
        <v>1562002.06</v>
      </c>
      <c r="V115" s="98">
        <f t="shared" ref="V115" si="120">U115</f>
        <v>1562002.06</v>
      </c>
    </row>
    <row r="116" spans="1:514" ht="22.95" customHeight="1" x14ac:dyDescent="0.25">
      <c r="A116" s="373" t="s">
        <v>341</v>
      </c>
      <c r="B116" s="97" t="s">
        <v>652</v>
      </c>
      <c r="C116" s="916"/>
      <c r="D116" s="629" t="s">
        <v>130</v>
      </c>
      <c r="E116" s="104">
        <v>1</v>
      </c>
      <c r="F116" s="579">
        <v>0</v>
      </c>
      <c r="G116" s="104">
        <v>2</v>
      </c>
      <c r="H116" s="104">
        <v>2</v>
      </c>
      <c r="I116" s="104">
        <v>2</v>
      </c>
      <c r="J116" s="99">
        <v>245948.56</v>
      </c>
      <c r="K116" s="98">
        <f>64533.72+18402.51*2</f>
        <v>101338.74</v>
      </c>
      <c r="L116" s="101">
        <v>72362.48</v>
      </c>
      <c r="M116" s="98">
        <f t="shared" si="97"/>
        <v>419649.78</v>
      </c>
      <c r="N116" s="98">
        <f t="shared" si="115"/>
        <v>491897.12</v>
      </c>
      <c r="O116" s="98">
        <f t="shared" si="103"/>
        <v>202677.48</v>
      </c>
      <c r="P116" s="98"/>
      <c r="Q116" s="99">
        <f t="shared" si="100"/>
        <v>144724.96</v>
      </c>
      <c r="R116" s="99"/>
      <c r="S116" s="99"/>
      <c r="T116" s="98">
        <f t="shared" si="104"/>
        <v>839299.56</v>
      </c>
      <c r="U116" s="98">
        <f t="shared" si="101"/>
        <v>839299.56</v>
      </c>
      <c r="V116" s="98">
        <f t="shared" si="101"/>
        <v>839299.56</v>
      </c>
    </row>
    <row r="117" spans="1:514" ht="25.2" customHeight="1" x14ac:dyDescent="0.25">
      <c r="A117" s="97"/>
      <c r="B117" s="92" t="s">
        <v>628</v>
      </c>
      <c r="C117" s="916"/>
      <c r="D117" s="629" t="s">
        <v>130</v>
      </c>
      <c r="E117" s="104">
        <v>4</v>
      </c>
      <c r="F117" s="579">
        <v>0</v>
      </c>
      <c r="G117" s="104">
        <v>0</v>
      </c>
      <c r="H117" s="104">
        <v>0</v>
      </c>
      <c r="I117" s="104">
        <v>0</v>
      </c>
      <c r="J117" s="99">
        <v>307116.86</v>
      </c>
      <c r="K117" s="98">
        <f>70240.51+15452.52*2</f>
        <v>101145.55</v>
      </c>
      <c r="L117" s="101">
        <v>72362.48</v>
      </c>
      <c r="M117" s="98">
        <f t="shared" si="97"/>
        <v>480624.89</v>
      </c>
      <c r="N117" s="98">
        <f t="shared" si="115"/>
        <v>0</v>
      </c>
      <c r="O117" s="98">
        <f>G117*K117</f>
        <v>0</v>
      </c>
      <c r="P117" s="98"/>
      <c r="Q117" s="99">
        <f t="shared" si="100"/>
        <v>0</v>
      </c>
      <c r="R117" s="99"/>
      <c r="S117" s="99"/>
      <c r="T117" s="98">
        <f t="shared" si="104"/>
        <v>0</v>
      </c>
      <c r="U117" s="98">
        <f t="shared" si="101"/>
        <v>0</v>
      </c>
      <c r="V117" s="98">
        <f t="shared" si="101"/>
        <v>0</v>
      </c>
    </row>
    <row r="118" spans="1:514" ht="18" customHeight="1" x14ac:dyDescent="0.25">
      <c r="A118" s="97"/>
      <c r="B118" s="92" t="s">
        <v>468</v>
      </c>
      <c r="C118" s="885"/>
      <c r="D118" s="629" t="s">
        <v>130</v>
      </c>
      <c r="E118" s="104">
        <v>12</v>
      </c>
      <c r="F118" s="579">
        <v>0</v>
      </c>
      <c r="G118" s="104">
        <v>0</v>
      </c>
      <c r="H118" s="104">
        <v>0</v>
      </c>
      <c r="I118" s="104">
        <v>0</v>
      </c>
      <c r="J118" s="99">
        <v>396958.87</v>
      </c>
      <c r="K118" s="98">
        <f>70240.51+15452.52*2</f>
        <v>101145.55</v>
      </c>
      <c r="L118" s="101">
        <v>72362.48</v>
      </c>
      <c r="M118" s="98">
        <f t="shared" si="97"/>
        <v>570466.9</v>
      </c>
      <c r="N118" s="98">
        <f>G118*J118</f>
        <v>0</v>
      </c>
      <c r="O118" s="98">
        <f>G118*K118</f>
        <v>0</v>
      </c>
      <c r="P118" s="98"/>
      <c r="Q118" s="99">
        <f t="shared" si="100"/>
        <v>0</v>
      </c>
      <c r="R118" s="99"/>
      <c r="S118" s="99"/>
      <c r="T118" s="98">
        <f t="shared" si="104"/>
        <v>0</v>
      </c>
      <c r="U118" s="98">
        <f t="shared" si="101"/>
        <v>0</v>
      </c>
      <c r="V118" s="98">
        <f t="shared" si="101"/>
        <v>0</v>
      </c>
    </row>
    <row r="119" spans="1:514" ht="25.95" customHeight="1" x14ac:dyDescent="0.25">
      <c r="A119" s="97"/>
      <c r="B119" s="97" t="s">
        <v>336</v>
      </c>
      <c r="C119" s="872" t="s">
        <v>605</v>
      </c>
      <c r="D119" s="629" t="s">
        <v>130</v>
      </c>
      <c r="E119" s="104">
        <v>17</v>
      </c>
      <c r="F119" s="579">
        <v>17</v>
      </c>
      <c r="G119" s="104">
        <f>17+29</f>
        <v>46</v>
      </c>
      <c r="H119" s="104">
        <v>46</v>
      </c>
      <c r="I119" s="104">
        <v>46</v>
      </c>
      <c r="J119" s="99">
        <v>132713.06</v>
      </c>
      <c r="K119" s="98">
        <f t="shared" ref="K119:K120" si="121">32326.86+18402.51</f>
        <v>50729.37</v>
      </c>
      <c r="L119" s="101">
        <v>72362.48</v>
      </c>
      <c r="M119" s="98">
        <f t="shared" si="97"/>
        <v>255804.91</v>
      </c>
      <c r="N119" s="98">
        <f t="shared" si="115"/>
        <v>6104800.7599999998</v>
      </c>
      <c r="O119" s="98">
        <f>G119*K119+9201.25</f>
        <v>2342752.27</v>
      </c>
      <c r="P119" s="98"/>
      <c r="Q119" s="99">
        <f t="shared" si="100"/>
        <v>3328674.08</v>
      </c>
      <c r="R119" s="99"/>
      <c r="S119" s="99"/>
      <c r="T119" s="98">
        <f t="shared" si="104"/>
        <v>11776227.109999999</v>
      </c>
      <c r="U119" s="98">
        <f t="shared" si="101"/>
        <v>11776227.109999999</v>
      </c>
      <c r="V119" s="98">
        <f t="shared" si="101"/>
        <v>11776227.109999999</v>
      </c>
    </row>
    <row r="120" spans="1:514" ht="36" customHeight="1" x14ac:dyDescent="0.25">
      <c r="A120" s="97"/>
      <c r="B120" s="97" t="s">
        <v>336</v>
      </c>
      <c r="C120" s="901"/>
      <c r="D120" s="629" t="s">
        <v>130</v>
      </c>
      <c r="E120" s="104">
        <v>2</v>
      </c>
      <c r="F120" s="579">
        <v>2</v>
      </c>
      <c r="G120" s="104">
        <v>3</v>
      </c>
      <c r="H120" s="104">
        <v>3</v>
      </c>
      <c r="I120" s="104">
        <v>3</v>
      </c>
      <c r="J120" s="99">
        <v>132713.06</v>
      </c>
      <c r="K120" s="98">
        <f t="shared" si="121"/>
        <v>50729.37</v>
      </c>
      <c r="L120" s="101">
        <v>72362.48</v>
      </c>
      <c r="M120" s="98">
        <f t="shared" ref="M120" si="122">J120+K120+L120</f>
        <v>255804.91</v>
      </c>
      <c r="N120" s="98">
        <f t="shared" ref="N120" si="123">G120*J120</f>
        <v>398139.18</v>
      </c>
      <c r="O120" s="98">
        <f t="shared" ref="O120" si="124">G120*K120</f>
        <v>152188.10999999999</v>
      </c>
      <c r="P120" s="98"/>
      <c r="Q120" s="99">
        <f t="shared" ref="Q120" si="125">G120*L120</f>
        <v>217087.44</v>
      </c>
      <c r="R120" s="99"/>
      <c r="S120" s="99"/>
      <c r="T120" s="98">
        <f t="shared" ref="T120" si="126">SUM(N120:Q120)</f>
        <v>767414.73</v>
      </c>
      <c r="U120" s="98">
        <f t="shared" ref="U120" si="127">T120</f>
        <v>767414.73</v>
      </c>
      <c r="V120" s="98">
        <f t="shared" ref="V120" si="128">U120</f>
        <v>767414.73</v>
      </c>
    </row>
    <row r="121" spans="1:514" ht="34.200000000000003" customHeight="1" x14ac:dyDescent="0.25">
      <c r="A121" s="97"/>
      <c r="B121" s="97" t="s">
        <v>330</v>
      </c>
      <c r="C121" s="901"/>
      <c r="D121" s="629" t="s">
        <v>130</v>
      </c>
      <c r="E121" s="104">
        <v>28</v>
      </c>
      <c r="F121" s="579">
        <v>41</v>
      </c>
      <c r="G121" s="104">
        <v>11</v>
      </c>
      <c r="H121" s="104">
        <v>11</v>
      </c>
      <c r="I121" s="104">
        <v>11</v>
      </c>
      <c r="J121" s="99">
        <v>132713.06</v>
      </c>
      <c r="K121" s="98">
        <f>32326.86+18402.51</f>
        <v>50729.37</v>
      </c>
      <c r="L121" s="101">
        <v>72362.48</v>
      </c>
      <c r="M121" s="98">
        <f t="shared" si="97"/>
        <v>255804.91</v>
      </c>
      <c r="N121" s="98">
        <f t="shared" si="115"/>
        <v>1459843.66</v>
      </c>
      <c r="O121" s="98">
        <f t="shared" si="103"/>
        <v>558023.06999999995</v>
      </c>
      <c r="P121" s="98"/>
      <c r="Q121" s="99">
        <f t="shared" si="100"/>
        <v>795987.28</v>
      </c>
      <c r="R121" s="99"/>
      <c r="S121" s="99"/>
      <c r="T121" s="98">
        <f t="shared" si="104"/>
        <v>2813854.01</v>
      </c>
      <c r="U121" s="98">
        <f t="shared" si="101"/>
        <v>2813854.01</v>
      </c>
      <c r="V121" s="98">
        <f t="shared" si="101"/>
        <v>2813854.01</v>
      </c>
    </row>
    <row r="122" spans="1:514" ht="34.200000000000003" customHeight="1" x14ac:dyDescent="0.25">
      <c r="A122" s="97"/>
      <c r="B122" s="97" t="s">
        <v>330</v>
      </c>
      <c r="C122" s="901"/>
      <c r="D122" s="629" t="s">
        <v>130</v>
      </c>
      <c r="E122" s="104">
        <v>28</v>
      </c>
      <c r="F122" s="579">
        <v>41</v>
      </c>
      <c r="G122" s="104">
        <v>5</v>
      </c>
      <c r="H122" s="104">
        <v>5</v>
      </c>
      <c r="I122" s="104">
        <v>5</v>
      </c>
      <c r="J122" s="99">
        <v>175329.95</v>
      </c>
      <c r="K122" s="98">
        <f>43062.49+18402.51*1.5</f>
        <v>70666.259999999995</v>
      </c>
      <c r="L122" s="101">
        <v>72362.48</v>
      </c>
      <c r="M122" s="98">
        <f t="shared" ref="M122" si="129">J122+K122+L122</f>
        <v>318358.69</v>
      </c>
      <c r="N122" s="98">
        <f t="shared" ref="N122" si="130">G122*J122</f>
        <v>876649.75</v>
      </c>
      <c r="O122" s="98">
        <f t="shared" ref="O122" si="131">G122*K122</f>
        <v>353331.3</v>
      </c>
      <c r="P122" s="98"/>
      <c r="Q122" s="99">
        <f t="shared" ref="Q122" si="132">G122*L122</f>
        <v>361812.4</v>
      </c>
      <c r="R122" s="99"/>
      <c r="S122" s="99"/>
      <c r="T122" s="98">
        <f t="shared" ref="T122" si="133">SUM(N122:Q122)</f>
        <v>1591793.45</v>
      </c>
      <c r="U122" s="98">
        <f t="shared" ref="U122" si="134">T122</f>
        <v>1591793.45</v>
      </c>
      <c r="V122" s="98">
        <f t="shared" ref="V122" si="135">U122</f>
        <v>1591793.45</v>
      </c>
    </row>
    <row r="123" spans="1:514" ht="30" customHeight="1" x14ac:dyDescent="0.25">
      <c r="A123" s="97"/>
      <c r="B123" s="97" t="s">
        <v>129</v>
      </c>
      <c r="C123" s="873"/>
      <c r="D123" s="629" t="s">
        <v>130</v>
      </c>
      <c r="E123" s="104">
        <v>17</v>
      </c>
      <c r="F123" s="579">
        <f>14</f>
        <v>14</v>
      </c>
      <c r="G123" s="104">
        <v>9</v>
      </c>
      <c r="H123" s="104">
        <v>9</v>
      </c>
      <c r="I123" s="104">
        <v>9</v>
      </c>
      <c r="J123" s="99">
        <v>175329.95</v>
      </c>
      <c r="K123" s="98">
        <f>43062.49+18402.51*1.5</f>
        <v>70666.259999999995</v>
      </c>
      <c r="L123" s="101">
        <v>72362.48</v>
      </c>
      <c r="M123" s="98">
        <f t="shared" si="97"/>
        <v>318358.69</v>
      </c>
      <c r="N123" s="98">
        <f t="shared" si="115"/>
        <v>1577969.55</v>
      </c>
      <c r="O123" s="98">
        <f t="shared" si="103"/>
        <v>635996.34</v>
      </c>
      <c r="P123" s="98"/>
      <c r="Q123" s="99">
        <f t="shared" si="100"/>
        <v>651262.31999999995</v>
      </c>
      <c r="R123" s="99"/>
      <c r="S123" s="99"/>
      <c r="T123" s="98">
        <f t="shared" si="104"/>
        <v>2865228.21</v>
      </c>
      <c r="U123" s="98">
        <f t="shared" si="101"/>
        <v>2865228.21</v>
      </c>
      <c r="V123" s="98">
        <f t="shared" si="101"/>
        <v>2865228.21</v>
      </c>
    </row>
    <row r="124" spans="1:514" s="376" customFormat="1" ht="41.4" customHeight="1" x14ac:dyDescent="0.25">
      <c r="A124" s="373"/>
      <c r="B124" s="373" t="s">
        <v>129</v>
      </c>
      <c r="C124" s="899" t="s">
        <v>450</v>
      </c>
      <c r="D124" s="373" t="s">
        <v>130</v>
      </c>
      <c r="E124" s="374">
        <v>0</v>
      </c>
      <c r="F124" s="374">
        <v>0</v>
      </c>
      <c r="G124" s="639">
        <v>0</v>
      </c>
      <c r="H124" s="374">
        <v>0</v>
      </c>
      <c r="I124" s="374">
        <v>0</v>
      </c>
      <c r="J124" s="375">
        <v>4842.07</v>
      </c>
      <c r="K124" s="375">
        <v>0</v>
      </c>
      <c r="L124" s="375">
        <v>0</v>
      </c>
      <c r="M124" s="375">
        <f>J124+K124+L124</f>
        <v>4842.07</v>
      </c>
      <c r="N124" s="375">
        <f t="shared" si="115"/>
        <v>0</v>
      </c>
      <c r="O124" s="375">
        <f>G124*K124</f>
        <v>0</v>
      </c>
      <c r="P124" s="375"/>
      <c r="Q124" s="375">
        <f>G124*L124</f>
        <v>0</v>
      </c>
      <c r="R124" s="375"/>
      <c r="S124" s="375"/>
      <c r="T124" s="375">
        <f t="shared" ref="T124" si="136">SUM(N124:Q124)</f>
        <v>0</v>
      </c>
      <c r="U124" s="375">
        <f t="shared" si="101"/>
        <v>0</v>
      </c>
      <c r="V124" s="375">
        <f t="shared" si="101"/>
        <v>0</v>
      </c>
      <c r="AD124" s="83"/>
      <c r="AE124" s="83"/>
      <c r="AF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  <c r="BI124" s="83"/>
      <c r="BJ124" s="83"/>
      <c r="BK124" s="83"/>
      <c r="BL124" s="83"/>
      <c r="BM124" s="83"/>
      <c r="BN124" s="83"/>
      <c r="BO124" s="83"/>
      <c r="BP124" s="83"/>
      <c r="BQ124" s="83"/>
      <c r="BR124" s="83"/>
      <c r="BS124" s="83"/>
      <c r="BT124" s="83"/>
      <c r="BU124" s="83"/>
      <c r="BV124" s="83"/>
      <c r="BW124" s="83"/>
      <c r="BX124" s="83"/>
      <c r="BY124" s="83"/>
      <c r="BZ124" s="83"/>
      <c r="CA124" s="83"/>
      <c r="CB124" s="83"/>
      <c r="CC124" s="83"/>
      <c r="CD124" s="83"/>
      <c r="CE124" s="83"/>
      <c r="CF124" s="83"/>
      <c r="CG124" s="83"/>
      <c r="CH124" s="83"/>
      <c r="CI124" s="83"/>
      <c r="CJ124" s="83"/>
      <c r="CK124" s="83"/>
      <c r="CL124" s="83"/>
      <c r="CM124" s="83"/>
      <c r="CN124" s="83"/>
      <c r="CO124" s="83"/>
      <c r="CP124" s="83"/>
      <c r="CQ124" s="83"/>
      <c r="CR124" s="83"/>
      <c r="CS124" s="83"/>
      <c r="CT124" s="83"/>
      <c r="CU124" s="83"/>
      <c r="CV124" s="83"/>
      <c r="CW124" s="83"/>
      <c r="CX124" s="83"/>
      <c r="CY124" s="83"/>
      <c r="CZ124" s="83"/>
      <c r="DA124" s="83"/>
      <c r="DB124" s="83"/>
      <c r="DC124" s="83"/>
      <c r="DD124" s="83"/>
      <c r="DE124" s="83"/>
      <c r="DF124" s="83"/>
      <c r="DG124" s="83"/>
      <c r="DH124" s="83"/>
      <c r="DI124" s="83"/>
      <c r="DJ124" s="83"/>
      <c r="DK124" s="83"/>
      <c r="DL124" s="83"/>
      <c r="DM124" s="83"/>
      <c r="DN124" s="83"/>
      <c r="DO124" s="83"/>
      <c r="DP124" s="83"/>
      <c r="DQ124" s="83"/>
      <c r="DR124" s="83"/>
      <c r="DS124" s="83"/>
      <c r="DT124" s="83"/>
      <c r="DU124" s="83"/>
      <c r="DV124" s="83"/>
      <c r="DW124" s="83"/>
      <c r="DX124" s="83"/>
      <c r="DY124" s="83"/>
      <c r="DZ124" s="83"/>
      <c r="EA124" s="83"/>
      <c r="EB124" s="83"/>
      <c r="EC124" s="83"/>
      <c r="ED124" s="83"/>
      <c r="EE124" s="83"/>
      <c r="EF124" s="83"/>
      <c r="EG124" s="83"/>
      <c r="EH124" s="83"/>
      <c r="EI124" s="83"/>
      <c r="EJ124" s="83"/>
      <c r="EK124" s="83"/>
      <c r="EL124" s="83"/>
      <c r="EM124" s="83"/>
      <c r="EN124" s="83"/>
      <c r="EO124" s="83"/>
      <c r="EP124" s="83"/>
      <c r="EQ124" s="83"/>
      <c r="ER124" s="83"/>
      <c r="ES124" s="83"/>
      <c r="ET124" s="83"/>
      <c r="EU124" s="83"/>
      <c r="EV124" s="83"/>
      <c r="EW124" s="83"/>
      <c r="EX124" s="83"/>
      <c r="EY124" s="83"/>
      <c r="EZ124" s="83"/>
      <c r="FA124" s="83"/>
      <c r="FB124" s="83"/>
      <c r="FC124" s="83"/>
      <c r="FD124" s="83"/>
      <c r="FE124" s="83"/>
      <c r="FF124" s="83"/>
      <c r="FG124" s="83"/>
      <c r="FH124" s="83"/>
      <c r="FI124" s="83"/>
      <c r="FJ124" s="83"/>
      <c r="FK124" s="83"/>
      <c r="FL124" s="83"/>
      <c r="FM124" s="83"/>
      <c r="FN124" s="83"/>
      <c r="FO124" s="83"/>
      <c r="FP124" s="83"/>
      <c r="FQ124" s="83"/>
      <c r="FR124" s="83"/>
      <c r="FS124" s="83"/>
      <c r="FT124" s="83"/>
      <c r="FU124" s="83"/>
      <c r="FV124" s="83"/>
      <c r="FW124" s="83"/>
      <c r="FX124" s="83"/>
      <c r="FY124" s="83"/>
      <c r="FZ124" s="83"/>
      <c r="GA124" s="83"/>
      <c r="GB124" s="83"/>
      <c r="GC124" s="83"/>
      <c r="GD124" s="83"/>
      <c r="GE124" s="83"/>
      <c r="GF124" s="83"/>
      <c r="GG124" s="83"/>
      <c r="GH124" s="83"/>
      <c r="GI124" s="83"/>
      <c r="GJ124" s="83"/>
      <c r="GK124" s="83"/>
      <c r="GL124" s="83"/>
      <c r="GM124" s="83"/>
      <c r="GN124" s="83"/>
      <c r="GO124" s="83"/>
      <c r="GP124" s="83"/>
      <c r="GQ124" s="83"/>
      <c r="GR124" s="83"/>
      <c r="GS124" s="83"/>
      <c r="GT124" s="83"/>
      <c r="GU124" s="83"/>
      <c r="GV124" s="83"/>
      <c r="GW124" s="83"/>
      <c r="GX124" s="83"/>
      <c r="GY124" s="83"/>
      <c r="GZ124" s="83"/>
      <c r="HA124" s="83"/>
      <c r="HB124" s="83"/>
      <c r="HC124" s="83"/>
      <c r="HD124" s="83"/>
      <c r="HE124" s="83"/>
      <c r="HF124" s="83"/>
      <c r="HG124" s="83"/>
      <c r="HH124" s="83"/>
      <c r="HI124" s="83"/>
      <c r="HJ124" s="83"/>
      <c r="HK124" s="83"/>
      <c r="HL124" s="83"/>
      <c r="HM124" s="83"/>
      <c r="HN124" s="83"/>
      <c r="HO124" s="83"/>
      <c r="HP124" s="83"/>
      <c r="HQ124" s="83"/>
      <c r="HR124" s="83"/>
      <c r="HS124" s="83"/>
      <c r="HT124" s="83"/>
      <c r="HU124" s="83"/>
      <c r="HV124" s="83"/>
      <c r="HW124" s="83"/>
      <c r="HX124" s="83"/>
      <c r="HY124" s="83"/>
      <c r="HZ124" s="83"/>
      <c r="IA124" s="83"/>
      <c r="IB124" s="83"/>
      <c r="IC124" s="83"/>
      <c r="ID124" s="83"/>
      <c r="IE124" s="83"/>
      <c r="IF124" s="83"/>
      <c r="IG124" s="83"/>
      <c r="IH124" s="83"/>
      <c r="II124" s="83"/>
      <c r="IJ124" s="83"/>
      <c r="IK124" s="83"/>
      <c r="IL124" s="83"/>
      <c r="IM124" s="83"/>
      <c r="IN124" s="83"/>
      <c r="IO124" s="83"/>
      <c r="IP124" s="83"/>
      <c r="IQ124" s="83"/>
      <c r="IR124" s="83"/>
      <c r="IS124" s="83"/>
      <c r="IT124" s="83"/>
      <c r="IU124" s="83"/>
      <c r="IV124" s="83"/>
      <c r="IW124" s="83"/>
      <c r="IX124" s="83"/>
      <c r="IY124" s="83"/>
      <c r="IZ124" s="83"/>
      <c r="JA124" s="83"/>
      <c r="JB124" s="83"/>
      <c r="JC124" s="83"/>
      <c r="JD124" s="83"/>
      <c r="JE124" s="83"/>
      <c r="JF124" s="83"/>
      <c r="JG124" s="83"/>
      <c r="JH124" s="83"/>
      <c r="JI124" s="83"/>
      <c r="JJ124" s="83"/>
      <c r="JK124" s="83"/>
      <c r="JL124" s="83"/>
      <c r="JM124" s="83"/>
      <c r="JN124" s="83"/>
      <c r="JO124" s="83"/>
      <c r="JP124" s="83"/>
      <c r="JQ124" s="83"/>
      <c r="JR124" s="83"/>
      <c r="JS124" s="83"/>
      <c r="JT124" s="83"/>
      <c r="JU124" s="83"/>
      <c r="JV124" s="83"/>
      <c r="JW124" s="83"/>
      <c r="JX124" s="83"/>
      <c r="JY124" s="83"/>
      <c r="JZ124" s="83"/>
      <c r="KA124" s="83"/>
      <c r="KB124" s="83"/>
      <c r="KC124" s="83"/>
      <c r="KD124" s="83"/>
      <c r="KE124" s="83"/>
      <c r="KF124" s="83"/>
      <c r="KG124" s="83"/>
      <c r="KH124" s="83"/>
      <c r="KI124" s="83"/>
      <c r="KJ124" s="83"/>
      <c r="KK124" s="83"/>
      <c r="KL124" s="83"/>
      <c r="KM124" s="83"/>
      <c r="KN124" s="83"/>
      <c r="KO124" s="83"/>
      <c r="KP124" s="83"/>
      <c r="KQ124" s="83"/>
      <c r="KR124" s="83"/>
      <c r="KS124" s="83"/>
      <c r="KT124" s="83"/>
      <c r="KU124" s="83"/>
      <c r="KV124" s="83"/>
      <c r="KW124" s="83"/>
      <c r="KX124" s="83"/>
      <c r="KY124" s="83"/>
      <c r="KZ124" s="83"/>
      <c r="LA124" s="83"/>
      <c r="LB124" s="83"/>
      <c r="LC124" s="83"/>
      <c r="LD124" s="83"/>
      <c r="LE124" s="83"/>
      <c r="LF124" s="83"/>
      <c r="LG124" s="83"/>
      <c r="LH124" s="83"/>
      <c r="LI124" s="83"/>
      <c r="LJ124" s="83"/>
      <c r="LK124" s="83"/>
      <c r="LL124" s="83"/>
      <c r="LM124" s="83"/>
      <c r="LN124" s="83"/>
      <c r="LO124" s="83"/>
      <c r="LP124" s="83"/>
      <c r="LQ124" s="83"/>
      <c r="LR124" s="83"/>
      <c r="LS124" s="83"/>
      <c r="LT124" s="83"/>
      <c r="LU124" s="83"/>
      <c r="LV124" s="83"/>
      <c r="LW124" s="83"/>
      <c r="LX124" s="83"/>
      <c r="LY124" s="83"/>
      <c r="LZ124" s="83"/>
      <c r="MA124" s="83"/>
      <c r="MB124" s="83"/>
      <c r="MC124" s="83"/>
      <c r="MD124" s="83"/>
      <c r="ME124" s="83"/>
      <c r="MF124" s="83"/>
      <c r="MG124" s="83"/>
      <c r="MH124" s="83"/>
      <c r="MI124" s="83"/>
      <c r="MJ124" s="83"/>
      <c r="MK124" s="83"/>
      <c r="ML124" s="83"/>
      <c r="MM124" s="83"/>
      <c r="MN124" s="83"/>
      <c r="MO124" s="83"/>
      <c r="MP124" s="83"/>
      <c r="MQ124" s="83"/>
      <c r="MR124" s="83"/>
      <c r="MS124" s="83"/>
      <c r="MT124" s="83"/>
      <c r="MU124" s="83"/>
      <c r="MV124" s="83"/>
      <c r="MW124" s="83"/>
      <c r="MX124" s="83"/>
      <c r="MY124" s="83"/>
      <c r="MZ124" s="83"/>
      <c r="NA124" s="83"/>
      <c r="NB124" s="83"/>
      <c r="NC124" s="83"/>
      <c r="ND124" s="83"/>
      <c r="NE124" s="83"/>
      <c r="NF124" s="83"/>
      <c r="NG124" s="83"/>
      <c r="NH124" s="83"/>
      <c r="NI124" s="83"/>
      <c r="NJ124" s="83"/>
      <c r="NK124" s="83"/>
      <c r="NL124" s="83"/>
      <c r="NM124" s="83"/>
      <c r="NN124" s="83"/>
      <c r="NO124" s="83"/>
      <c r="NP124" s="83"/>
      <c r="NQ124" s="83"/>
      <c r="NR124" s="83"/>
      <c r="NS124" s="83"/>
      <c r="NT124" s="83"/>
      <c r="NU124" s="83"/>
      <c r="NV124" s="83"/>
      <c r="NW124" s="83"/>
      <c r="NX124" s="83"/>
      <c r="NY124" s="83"/>
      <c r="NZ124" s="83"/>
      <c r="OA124" s="83"/>
      <c r="OB124" s="83"/>
      <c r="OC124" s="83"/>
      <c r="OD124" s="83"/>
      <c r="OE124" s="83"/>
      <c r="OF124" s="83"/>
      <c r="OG124" s="83"/>
      <c r="OH124" s="83"/>
      <c r="OI124" s="83"/>
      <c r="OJ124" s="83"/>
      <c r="OK124" s="83"/>
      <c r="OL124" s="83"/>
      <c r="OM124" s="83"/>
      <c r="ON124" s="83"/>
      <c r="OO124" s="83"/>
      <c r="OP124" s="83"/>
      <c r="OQ124" s="83"/>
      <c r="OR124" s="83"/>
      <c r="OS124" s="83"/>
      <c r="OT124" s="83"/>
      <c r="OU124" s="83"/>
      <c r="OV124" s="83"/>
      <c r="OW124" s="83"/>
      <c r="OX124" s="83"/>
      <c r="OY124" s="83"/>
      <c r="OZ124" s="83"/>
      <c r="PA124" s="83"/>
      <c r="PB124" s="83"/>
      <c r="PC124" s="83"/>
      <c r="PD124" s="83"/>
      <c r="PE124" s="83"/>
      <c r="PF124" s="83"/>
      <c r="PG124" s="83"/>
      <c r="PH124" s="83"/>
      <c r="PI124" s="83"/>
      <c r="PJ124" s="83"/>
      <c r="PK124" s="83"/>
      <c r="PL124" s="83"/>
      <c r="PM124" s="83"/>
      <c r="PN124" s="83"/>
      <c r="PO124" s="83"/>
      <c r="PP124" s="83"/>
      <c r="PQ124" s="83"/>
      <c r="PR124" s="83"/>
      <c r="PS124" s="83"/>
      <c r="PT124" s="83"/>
      <c r="PU124" s="83"/>
      <c r="PV124" s="83"/>
      <c r="PW124" s="83"/>
      <c r="PX124" s="83"/>
      <c r="PY124" s="83"/>
      <c r="PZ124" s="83"/>
      <c r="QA124" s="83"/>
      <c r="QB124" s="83"/>
      <c r="QC124" s="83"/>
      <c r="QD124" s="83"/>
      <c r="QE124" s="83"/>
      <c r="QF124" s="83"/>
      <c r="QG124" s="83"/>
      <c r="QH124" s="83"/>
      <c r="QI124" s="83"/>
      <c r="QJ124" s="83"/>
      <c r="QK124" s="83"/>
      <c r="QL124" s="83"/>
      <c r="QM124" s="83"/>
      <c r="QN124" s="83"/>
      <c r="QO124" s="83"/>
      <c r="QP124" s="83"/>
      <c r="QQ124" s="83"/>
      <c r="QR124" s="83"/>
      <c r="QS124" s="83"/>
      <c r="QT124" s="83"/>
      <c r="QU124" s="83"/>
      <c r="QV124" s="83"/>
      <c r="QW124" s="83"/>
      <c r="QX124" s="83"/>
      <c r="QY124" s="83"/>
      <c r="QZ124" s="83"/>
      <c r="RA124" s="83"/>
      <c r="RB124" s="83"/>
      <c r="RC124" s="83"/>
      <c r="RD124" s="83"/>
      <c r="RE124" s="83"/>
      <c r="RF124" s="83"/>
      <c r="RG124" s="83"/>
      <c r="RH124" s="83"/>
      <c r="RI124" s="83"/>
      <c r="RJ124" s="83"/>
      <c r="RK124" s="83"/>
      <c r="RL124" s="83"/>
      <c r="RM124" s="83"/>
      <c r="RN124" s="83"/>
      <c r="RO124" s="83"/>
      <c r="RP124" s="83"/>
      <c r="RQ124" s="83"/>
      <c r="RR124" s="83"/>
      <c r="RS124" s="83"/>
      <c r="RT124" s="83"/>
      <c r="RU124" s="83"/>
      <c r="RV124" s="83"/>
      <c r="RW124" s="83"/>
      <c r="RX124" s="83"/>
      <c r="RY124" s="83"/>
      <c r="RZ124" s="83"/>
      <c r="SA124" s="83"/>
      <c r="SB124" s="83"/>
      <c r="SC124" s="83"/>
      <c r="SD124" s="83"/>
      <c r="SE124" s="83"/>
      <c r="SF124" s="83"/>
      <c r="SG124" s="83"/>
      <c r="SH124" s="83"/>
      <c r="SI124" s="83"/>
      <c r="SJ124" s="83"/>
      <c r="SK124" s="83"/>
      <c r="SL124" s="83"/>
      <c r="SM124" s="83"/>
      <c r="SN124" s="83"/>
      <c r="SO124" s="83"/>
      <c r="SP124" s="83"/>
      <c r="SQ124" s="83"/>
      <c r="SR124" s="83"/>
      <c r="SS124" s="83"/>
      <c r="ST124" s="83"/>
    </row>
    <row r="125" spans="1:514" s="376" customFormat="1" ht="33.6" customHeight="1" x14ac:dyDescent="0.25">
      <c r="A125" s="373"/>
      <c r="B125" s="373" t="s">
        <v>131</v>
      </c>
      <c r="C125" s="900"/>
      <c r="D125" s="373" t="s">
        <v>130</v>
      </c>
      <c r="E125" s="374">
        <v>0</v>
      </c>
      <c r="F125" s="374">
        <v>0</v>
      </c>
      <c r="G125" s="639">
        <v>0</v>
      </c>
      <c r="H125" s="374">
        <v>0</v>
      </c>
      <c r="I125" s="374">
        <v>0</v>
      </c>
      <c r="J125" s="375">
        <v>4842.07</v>
      </c>
      <c r="K125" s="375">
        <v>0</v>
      </c>
      <c r="L125" s="375">
        <v>0</v>
      </c>
      <c r="M125" s="375">
        <f t="shared" ref="M125:M134" si="137">J125+K125+L125</f>
        <v>4842.07</v>
      </c>
      <c r="N125" s="375">
        <f t="shared" si="102"/>
        <v>0</v>
      </c>
      <c r="O125" s="375">
        <f t="shared" ref="O125:O135" si="138">G125*K125</f>
        <v>0</v>
      </c>
      <c r="P125" s="375"/>
      <c r="Q125" s="375">
        <f t="shared" si="100"/>
        <v>0</v>
      </c>
      <c r="R125" s="375"/>
      <c r="S125" s="375"/>
      <c r="T125" s="375">
        <f t="shared" ref="T125:T130" si="139">SUM(N125:Q125)</f>
        <v>0</v>
      </c>
      <c r="U125" s="375">
        <f t="shared" si="101"/>
        <v>0</v>
      </c>
      <c r="V125" s="375">
        <f t="shared" si="101"/>
        <v>0</v>
      </c>
      <c r="AD125" s="83"/>
      <c r="AE125" s="83"/>
      <c r="AF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  <c r="BI125" s="83"/>
      <c r="BJ125" s="83"/>
      <c r="BK125" s="83"/>
      <c r="BL125" s="83"/>
      <c r="BM125" s="83"/>
      <c r="BN125" s="83"/>
      <c r="BO125" s="83"/>
      <c r="BP125" s="83"/>
      <c r="BQ125" s="83"/>
      <c r="BR125" s="83"/>
      <c r="BS125" s="83"/>
      <c r="BT125" s="83"/>
      <c r="BU125" s="83"/>
      <c r="BV125" s="83"/>
      <c r="BW125" s="83"/>
      <c r="BX125" s="83"/>
      <c r="BY125" s="83"/>
      <c r="BZ125" s="83"/>
      <c r="CA125" s="83"/>
      <c r="CB125" s="83"/>
      <c r="CC125" s="83"/>
      <c r="CD125" s="83"/>
      <c r="CE125" s="83"/>
      <c r="CF125" s="83"/>
      <c r="CG125" s="83"/>
      <c r="CH125" s="83"/>
      <c r="CI125" s="83"/>
      <c r="CJ125" s="83"/>
      <c r="CK125" s="83"/>
      <c r="CL125" s="83"/>
      <c r="CM125" s="83"/>
      <c r="CN125" s="83"/>
      <c r="CO125" s="83"/>
      <c r="CP125" s="83"/>
      <c r="CQ125" s="83"/>
      <c r="CR125" s="83"/>
      <c r="CS125" s="83"/>
      <c r="CT125" s="83"/>
      <c r="CU125" s="83"/>
      <c r="CV125" s="83"/>
      <c r="CW125" s="83"/>
      <c r="CX125" s="83"/>
      <c r="CY125" s="83"/>
      <c r="CZ125" s="83"/>
      <c r="DA125" s="83"/>
      <c r="DB125" s="83"/>
      <c r="DC125" s="83"/>
      <c r="DD125" s="83"/>
      <c r="DE125" s="83"/>
      <c r="DF125" s="83"/>
      <c r="DG125" s="83"/>
      <c r="DH125" s="83"/>
      <c r="DI125" s="83"/>
      <c r="DJ125" s="83"/>
      <c r="DK125" s="83"/>
      <c r="DL125" s="83"/>
      <c r="DM125" s="83"/>
      <c r="DN125" s="83"/>
      <c r="DO125" s="83"/>
      <c r="DP125" s="83"/>
      <c r="DQ125" s="83"/>
      <c r="DR125" s="83"/>
      <c r="DS125" s="83"/>
      <c r="DT125" s="83"/>
      <c r="DU125" s="83"/>
      <c r="DV125" s="83"/>
      <c r="DW125" s="83"/>
      <c r="DX125" s="83"/>
      <c r="DY125" s="83"/>
      <c r="DZ125" s="83"/>
      <c r="EA125" s="83"/>
      <c r="EB125" s="83"/>
      <c r="EC125" s="83"/>
      <c r="ED125" s="83"/>
      <c r="EE125" s="83"/>
      <c r="EF125" s="83"/>
      <c r="EG125" s="83"/>
      <c r="EH125" s="83"/>
      <c r="EI125" s="83"/>
      <c r="EJ125" s="83"/>
      <c r="EK125" s="83"/>
      <c r="EL125" s="83"/>
      <c r="EM125" s="83"/>
      <c r="EN125" s="83"/>
      <c r="EO125" s="83"/>
      <c r="EP125" s="83"/>
      <c r="EQ125" s="83"/>
      <c r="ER125" s="83"/>
      <c r="ES125" s="83"/>
      <c r="ET125" s="83"/>
      <c r="EU125" s="83"/>
      <c r="EV125" s="83"/>
      <c r="EW125" s="83"/>
      <c r="EX125" s="83"/>
      <c r="EY125" s="83"/>
      <c r="EZ125" s="83"/>
      <c r="FA125" s="83"/>
      <c r="FB125" s="83"/>
      <c r="FC125" s="83"/>
      <c r="FD125" s="83"/>
      <c r="FE125" s="83"/>
      <c r="FF125" s="83"/>
      <c r="FG125" s="83"/>
      <c r="FH125" s="83"/>
      <c r="FI125" s="83"/>
      <c r="FJ125" s="83"/>
      <c r="FK125" s="83"/>
      <c r="FL125" s="83"/>
      <c r="FM125" s="83"/>
      <c r="FN125" s="83"/>
      <c r="FO125" s="83"/>
      <c r="FP125" s="83"/>
      <c r="FQ125" s="83"/>
      <c r="FR125" s="83"/>
      <c r="FS125" s="83"/>
      <c r="FT125" s="83"/>
      <c r="FU125" s="83"/>
      <c r="FV125" s="83"/>
      <c r="FW125" s="83"/>
      <c r="FX125" s="83"/>
      <c r="FY125" s="83"/>
      <c r="FZ125" s="83"/>
      <c r="GA125" s="83"/>
      <c r="GB125" s="83"/>
      <c r="GC125" s="83"/>
      <c r="GD125" s="83"/>
      <c r="GE125" s="83"/>
      <c r="GF125" s="83"/>
      <c r="GG125" s="83"/>
      <c r="GH125" s="83"/>
      <c r="GI125" s="83"/>
      <c r="GJ125" s="83"/>
      <c r="GK125" s="83"/>
      <c r="GL125" s="83"/>
      <c r="GM125" s="83"/>
      <c r="GN125" s="83"/>
      <c r="GO125" s="83"/>
      <c r="GP125" s="83"/>
      <c r="GQ125" s="83"/>
      <c r="GR125" s="83"/>
      <c r="GS125" s="83"/>
      <c r="GT125" s="83"/>
      <c r="GU125" s="83"/>
      <c r="GV125" s="83"/>
      <c r="GW125" s="83"/>
      <c r="GX125" s="83"/>
      <c r="GY125" s="83"/>
      <c r="GZ125" s="83"/>
      <c r="HA125" s="83"/>
      <c r="HB125" s="83"/>
      <c r="HC125" s="83"/>
      <c r="HD125" s="83"/>
      <c r="HE125" s="83"/>
      <c r="HF125" s="83"/>
      <c r="HG125" s="83"/>
      <c r="HH125" s="83"/>
      <c r="HI125" s="83"/>
      <c r="HJ125" s="83"/>
      <c r="HK125" s="83"/>
      <c r="HL125" s="83"/>
      <c r="HM125" s="83"/>
      <c r="HN125" s="83"/>
      <c r="HO125" s="83"/>
      <c r="HP125" s="83"/>
      <c r="HQ125" s="83"/>
      <c r="HR125" s="83"/>
      <c r="HS125" s="83"/>
      <c r="HT125" s="83"/>
      <c r="HU125" s="83"/>
      <c r="HV125" s="83"/>
      <c r="HW125" s="83"/>
      <c r="HX125" s="83"/>
      <c r="HY125" s="83"/>
      <c r="HZ125" s="83"/>
      <c r="IA125" s="83"/>
      <c r="IB125" s="83"/>
      <c r="IC125" s="83"/>
      <c r="ID125" s="83"/>
      <c r="IE125" s="83"/>
      <c r="IF125" s="83"/>
      <c r="IG125" s="83"/>
      <c r="IH125" s="83"/>
      <c r="II125" s="83"/>
      <c r="IJ125" s="83"/>
      <c r="IK125" s="83"/>
      <c r="IL125" s="83"/>
      <c r="IM125" s="83"/>
      <c r="IN125" s="83"/>
      <c r="IO125" s="83"/>
      <c r="IP125" s="83"/>
      <c r="IQ125" s="83"/>
      <c r="IR125" s="83"/>
      <c r="IS125" s="83"/>
      <c r="IT125" s="83"/>
      <c r="IU125" s="83"/>
      <c r="IV125" s="83"/>
      <c r="IW125" s="83"/>
      <c r="IX125" s="83"/>
      <c r="IY125" s="83"/>
      <c r="IZ125" s="83"/>
      <c r="JA125" s="83"/>
      <c r="JB125" s="83"/>
      <c r="JC125" s="83"/>
      <c r="JD125" s="83"/>
      <c r="JE125" s="83"/>
      <c r="JF125" s="83"/>
      <c r="JG125" s="83"/>
      <c r="JH125" s="83"/>
      <c r="JI125" s="83"/>
      <c r="JJ125" s="83"/>
      <c r="JK125" s="83"/>
      <c r="JL125" s="83"/>
      <c r="JM125" s="83"/>
      <c r="JN125" s="83"/>
      <c r="JO125" s="83"/>
      <c r="JP125" s="83"/>
      <c r="JQ125" s="83"/>
      <c r="JR125" s="83"/>
      <c r="JS125" s="83"/>
      <c r="JT125" s="83"/>
      <c r="JU125" s="83"/>
      <c r="JV125" s="83"/>
      <c r="JW125" s="83"/>
      <c r="JX125" s="83"/>
      <c r="JY125" s="83"/>
      <c r="JZ125" s="83"/>
      <c r="KA125" s="83"/>
      <c r="KB125" s="83"/>
      <c r="KC125" s="83"/>
      <c r="KD125" s="83"/>
      <c r="KE125" s="83"/>
      <c r="KF125" s="83"/>
      <c r="KG125" s="83"/>
      <c r="KH125" s="83"/>
      <c r="KI125" s="83"/>
      <c r="KJ125" s="83"/>
      <c r="KK125" s="83"/>
      <c r="KL125" s="83"/>
      <c r="KM125" s="83"/>
      <c r="KN125" s="83"/>
      <c r="KO125" s="83"/>
      <c r="KP125" s="83"/>
      <c r="KQ125" s="83"/>
      <c r="KR125" s="83"/>
      <c r="KS125" s="83"/>
      <c r="KT125" s="83"/>
      <c r="KU125" s="83"/>
      <c r="KV125" s="83"/>
      <c r="KW125" s="83"/>
      <c r="KX125" s="83"/>
      <c r="KY125" s="83"/>
      <c r="KZ125" s="83"/>
      <c r="LA125" s="83"/>
      <c r="LB125" s="83"/>
      <c r="LC125" s="83"/>
      <c r="LD125" s="83"/>
      <c r="LE125" s="83"/>
      <c r="LF125" s="83"/>
      <c r="LG125" s="83"/>
      <c r="LH125" s="83"/>
      <c r="LI125" s="83"/>
      <c r="LJ125" s="83"/>
      <c r="LK125" s="83"/>
      <c r="LL125" s="83"/>
      <c r="LM125" s="83"/>
      <c r="LN125" s="83"/>
      <c r="LO125" s="83"/>
      <c r="LP125" s="83"/>
      <c r="LQ125" s="83"/>
      <c r="LR125" s="83"/>
      <c r="LS125" s="83"/>
      <c r="LT125" s="83"/>
      <c r="LU125" s="83"/>
      <c r="LV125" s="83"/>
      <c r="LW125" s="83"/>
      <c r="LX125" s="83"/>
      <c r="LY125" s="83"/>
      <c r="LZ125" s="83"/>
      <c r="MA125" s="83"/>
      <c r="MB125" s="83"/>
      <c r="MC125" s="83"/>
      <c r="MD125" s="83"/>
      <c r="ME125" s="83"/>
      <c r="MF125" s="83"/>
      <c r="MG125" s="83"/>
      <c r="MH125" s="83"/>
      <c r="MI125" s="83"/>
      <c r="MJ125" s="83"/>
      <c r="MK125" s="83"/>
      <c r="ML125" s="83"/>
      <c r="MM125" s="83"/>
      <c r="MN125" s="83"/>
      <c r="MO125" s="83"/>
      <c r="MP125" s="83"/>
      <c r="MQ125" s="83"/>
      <c r="MR125" s="83"/>
      <c r="MS125" s="83"/>
      <c r="MT125" s="83"/>
      <c r="MU125" s="83"/>
      <c r="MV125" s="83"/>
      <c r="MW125" s="83"/>
      <c r="MX125" s="83"/>
      <c r="MY125" s="83"/>
      <c r="MZ125" s="83"/>
      <c r="NA125" s="83"/>
      <c r="NB125" s="83"/>
      <c r="NC125" s="83"/>
      <c r="ND125" s="83"/>
      <c r="NE125" s="83"/>
      <c r="NF125" s="83"/>
      <c r="NG125" s="83"/>
      <c r="NH125" s="83"/>
      <c r="NI125" s="83"/>
      <c r="NJ125" s="83"/>
      <c r="NK125" s="83"/>
      <c r="NL125" s="83"/>
      <c r="NM125" s="83"/>
      <c r="NN125" s="83"/>
      <c r="NO125" s="83"/>
      <c r="NP125" s="83"/>
      <c r="NQ125" s="83"/>
      <c r="NR125" s="83"/>
      <c r="NS125" s="83"/>
      <c r="NT125" s="83"/>
      <c r="NU125" s="83"/>
      <c r="NV125" s="83"/>
      <c r="NW125" s="83"/>
      <c r="NX125" s="83"/>
      <c r="NY125" s="83"/>
      <c r="NZ125" s="83"/>
      <c r="OA125" s="83"/>
      <c r="OB125" s="83"/>
      <c r="OC125" s="83"/>
      <c r="OD125" s="83"/>
      <c r="OE125" s="83"/>
      <c r="OF125" s="83"/>
      <c r="OG125" s="83"/>
      <c r="OH125" s="83"/>
      <c r="OI125" s="83"/>
      <c r="OJ125" s="83"/>
      <c r="OK125" s="83"/>
      <c r="OL125" s="83"/>
      <c r="OM125" s="83"/>
      <c r="ON125" s="83"/>
      <c r="OO125" s="83"/>
      <c r="OP125" s="83"/>
      <c r="OQ125" s="83"/>
      <c r="OR125" s="83"/>
      <c r="OS125" s="83"/>
      <c r="OT125" s="83"/>
      <c r="OU125" s="83"/>
      <c r="OV125" s="83"/>
      <c r="OW125" s="83"/>
      <c r="OX125" s="83"/>
      <c r="OY125" s="83"/>
      <c r="OZ125" s="83"/>
      <c r="PA125" s="83"/>
      <c r="PB125" s="83"/>
      <c r="PC125" s="83"/>
      <c r="PD125" s="83"/>
      <c r="PE125" s="83"/>
      <c r="PF125" s="83"/>
      <c r="PG125" s="83"/>
      <c r="PH125" s="83"/>
      <c r="PI125" s="83"/>
      <c r="PJ125" s="83"/>
      <c r="PK125" s="83"/>
      <c r="PL125" s="83"/>
      <c r="PM125" s="83"/>
      <c r="PN125" s="83"/>
      <c r="PO125" s="83"/>
      <c r="PP125" s="83"/>
      <c r="PQ125" s="83"/>
      <c r="PR125" s="83"/>
      <c r="PS125" s="83"/>
      <c r="PT125" s="83"/>
      <c r="PU125" s="83"/>
      <c r="PV125" s="83"/>
      <c r="PW125" s="83"/>
      <c r="PX125" s="83"/>
      <c r="PY125" s="83"/>
      <c r="PZ125" s="83"/>
      <c r="QA125" s="83"/>
      <c r="QB125" s="83"/>
      <c r="QC125" s="83"/>
      <c r="QD125" s="83"/>
      <c r="QE125" s="83"/>
      <c r="QF125" s="83"/>
      <c r="QG125" s="83"/>
      <c r="QH125" s="83"/>
      <c r="QI125" s="83"/>
      <c r="QJ125" s="83"/>
      <c r="QK125" s="83"/>
      <c r="QL125" s="83"/>
      <c r="QM125" s="83"/>
      <c r="QN125" s="83"/>
      <c r="QO125" s="83"/>
      <c r="QP125" s="83"/>
      <c r="QQ125" s="83"/>
      <c r="QR125" s="83"/>
      <c r="QS125" s="83"/>
      <c r="QT125" s="83"/>
      <c r="QU125" s="83"/>
      <c r="QV125" s="83"/>
      <c r="QW125" s="83"/>
      <c r="QX125" s="83"/>
      <c r="QY125" s="83"/>
      <c r="QZ125" s="83"/>
      <c r="RA125" s="83"/>
      <c r="RB125" s="83"/>
      <c r="RC125" s="83"/>
      <c r="RD125" s="83"/>
      <c r="RE125" s="83"/>
      <c r="RF125" s="83"/>
      <c r="RG125" s="83"/>
      <c r="RH125" s="83"/>
      <c r="RI125" s="83"/>
      <c r="RJ125" s="83"/>
      <c r="RK125" s="83"/>
      <c r="RL125" s="83"/>
      <c r="RM125" s="83"/>
      <c r="RN125" s="83"/>
      <c r="RO125" s="83"/>
      <c r="RP125" s="83"/>
      <c r="RQ125" s="83"/>
      <c r="RR125" s="83"/>
      <c r="RS125" s="83"/>
      <c r="RT125" s="83"/>
      <c r="RU125" s="83"/>
      <c r="RV125" s="83"/>
      <c r="RW125" s="83"/>
      <c r="RX125" s="83"/>
      <c r="RY125" s="83"/>
      <c r="RZ125" s="83"/>
      <c r="SA125" s="83"/>
      <c r="SB125" s="83"/>
      <c r="SC125" s="83"/>
      <c r="SD125" s="83"/>
      <c r="SE125" s="83"/>
      <c r="SF125" s="83"/>
      <c r="SG125" s="83"/>
      <c r="SH125" s="83"/>
      <c r="SI125" s="83"/>
      <c r="SJ125" s="83"/>
      <c r="SK125" s="83"/>
      <c r="SL125" s="83"/>
      <c r="SM125" s="83"/>
      <c r="SN125" s="83"/>
      <c r="SO125" s="83"/>
      <c r="SP125" s="83"/>
      <c r="SQ125" s="83"/>
      <c r="SR125" s="83"/>
      <c r="SS125" s="83"/>
      <c r="ST125" s="83"/>
    </row>
    <row r="126" spans="1:514" s="376" customFormat="1" ht="28.2" customHeight="1" x14ac:dyDescent="0.25">
      <c r="A126" s="373"/>
      <c r="B126" s="373" t="s">
        <v>332</v>
      </c>
      <c r="C126" s="899" t="s">
        <v>451</v>
      </c>
      <c r="D126" s="373" t="s">
        <v>130</v>
      </c>
      <c r="E126" s="374">
        <v>26</v>
      </c>
      <c r="F126" s="374">
        <v>14</v>
      </c>
      <c r="G126" s="639">
        <v>13</v>
      </c>
      <c r="H126" s="374">
        <v>13</v>
      </c>
      <c r="I126" s="374">
        <v>13</v>
      </c>
      <c r="J126" s="375">
        <v>7263.1</v>
      </c>
      <c r="K126" s="375">
        <v>0</v>
      </c>
      <c r="L126" s="375">
        <v>0</v>
      </c>
      <c r="M126" s="375">
        <f t="shared" si="137"/>
        <v>7263.1</v>
      </c>
      <c r="N126" s="375">
        <f t="shared" ref="N126:N131" si="140">G126*J126</f>
        <v>94420.3</v>
      </c>
      <c r="O126" s="375">
        <f t="shared" si="138"/>
        <v>0</v>
      </c>
      <c r="P126" s="375"/>
      <c r="Q126" s="375">
        <f t="shared" si="100"/>
        <v>0</v>
      </c>
      <c r="R126" s="375"/>
      <c r="S126" s="375"/>
      <c r="T126" s="375">
        <f t="shared" si="139"/>
        <v>94420.3</v>
      </c>
      <c r="U126" s="375">
        <f t="shared" si="101"/>
        <v>94420.3</v>
      </c>
      <c r="V126" s="375">
        <f t="shared" si="101"/>
        <v>94420.3</v>
      </c>
      <c r="AD126" s="83"/>
      <c r="AE126" s="83"/>
      <c r="AF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  <c r="BI126" s="83"/>
      <c r="BJ126" s="83"/>
      <c r="BK126" s="83"/>
      <c r="BL126" s="83"/>
      <c r="BM126" s="83"/>
      <c r="BN126" s="83"/>
      <c r="BO126" s="83"/>
      <c r="BP126" s="83"/>
      <c r="BQ126" s="83"/>
      <c r="BR126" s="83"/>
      <c r="BS126" s="83"/>
      <c r="BT126" s="83"/>
      <c r="BU126" s="83"/>
      <c r="BV126" s="83"/>
      <c r="BW126" s="83"/>
      <c r="BX126" s="83"/>
      <c r="BY126" s="83"/>
      <c r="BZ126" s="83"/>
      <c r="CA126" s="83"/>
      <c r="CB126" s="83"/>
      <c r="CC126" s="83"/>
      <c r="CD126" s="83"/>
      <c r="CE126" s="83"/>
      <c r="CF126" s="83"/>
      <c r="CG126" s="83"/>
      <c r="CH126" s="83"/>
      <c r="CI126" s="83"/>
      <c r="CJ126" s="83"/>
      <c r="CK126" s="83"/>
      <c r="CL126" s="83"/>
      <c r="CM126" s="83"/>
      <c r="CN126" s="83"/>
      <c r="CO126" s="83"/>
      <c r="CP126" s="83"/>
      <c r="CQ126" s="83"/>
      <c r="CR126" s="83"/>
      <c r="CS126" s="83"/>
      <c r="CT126" s="83"/>
      <c r="CU126" s="83"/>
      <c r="CV126" s="83"/>
      <c r="CW126" s="83"/>
      <c r="CX126" s="83"/>
      <c r="CY126" s="83"/>
      <c r="CZ126" s="83"/>
      <c r="DA126" s="83"/>
      <c r="DB126" s="83"/>
      <c r="DC126" s="83"/>
      <c r="DD126" s="83"/>
      <c r="DE126" s="83"/>
      <c r="DF126" s="83"/>
      <c r="DG126" s="83"/>
      <c r="DH126" s="83"/>
      <c r="DI126" s="83"/>
      <c r="DJ126" s="83"/>
      <c r="DK126" s="83"/>
      <c r="DL126" s="83"/>
      <c r="DM126" s="83"/>
      <c r="DN126" s="83"/>
      <c r="DO126" s="83"/>
      <c r="DP126" s="83"/>
      <c r="DQ126" s="83"/>
      <c r="DR126" s="83"/>
      <c r="DS126" s="83"/>
      <c r="DT126" s="83"/>
      <c r="DU126" s="83"/>
      <c r="DV126" s="83"/>
      <c r="DW126" s="83"/>
      <c r="DX126" s="83"/>
      <c r="DY126" s="83"/>
      <c r="DZ126" s="83"/>
      <c r="EA126" s="83"/>
      <c r="EB126" s="83"/>
      <c r="EC126" s="83"/>
      <c r="ED126" s="83"/>
      <c r="EE126" s="83"/>
      <c r="EF126" s="83"/>
      <c r="EG126" s="83"/>
      <c r="EH126" s="83"/>
      <c r="EI126" s="83"/>
      <c r="EJ126" s="83"/>
      <c r="EK126" s="83"/>
      <c r="EL126" s="83"/>
      <c r="EM126" s="83"/>
      <c r="EN126" s="83"/>
      <c r="EO126" s="83"/>
      <c r="EP126" s="83"/>
      <c r="EQ126" s="83"/>
      <c r="ER126" s="83"/>
      <c r="ES126" s="83"/>
      <c r="ET126" s="83"/>
      <c r="EU126" s="83"/>
      <c r="EV126" s="83"/>
      <c r="EW126" s="83"/>
      <c r="EX126" s="83"/>
      <c r="EY126" s="83"/>
      <c r="EZ126" s="83"/>
      <c r="FA126" s="83"/>
      <c r="FB126" s="83"/>
      <c r="FC126" s="83"/>
      <c r="FD126" s="83"/>
      <c r="FE126" s="83"/>
      <c r="FF126" s="83"/>
      <c r="FG126" s="83"/>
      <c r="FH126" s="83"/>
      <c r="FI126" s="83"/>
      <c r="FJ126" s="83"/>
      <c r="FK126" s="83"/>
      <c r="FL126" s="83"/>
      <c r="FM126" s="83"/>
      <c r="FN126" s="83"/>
      <c r="FO126" s="83"/>
      <c r="FP126" s="83"/>
      <c r="FQ126" s="83"/>
      <c r="FR126" s="83"/>
      <c r="FS126" s="83"/>
      <c r="FT126" s="83"/>
      <c r="FU126" s="83"/>
      <c r="FV126" s="83"/>
      <c r="FW126" s="83"/>
      <c r="FX126" s="83"/>
      <c r="FY126" s="83"/>
      <c r="FZ126" s="83"/>
      <c r="GA126" s="83"/>
      <c r="GB126" s="83"/>
      <c r="GC126" s="83"/>
      <c r="GD126" s="83"/>
      <c r="GE126" s="83"/>
      <c r="GF126" s="83"/>
      <c r="GG126" s="83"/>
      <c r="GH126" s="83"/>
      <c r="GI126" s="83"/>
      <c r="GJ126" s="83"/>
      <c r="GK126" s="83"/>
      <c r="GL126" s="83"/>
      <c r="GM126" s="83"/>
      <c r="GN126" s="83"/>
      <c r="GO126" s="83"/>
      <c r="GP126" s="83"/>
      <c r="GQ126" s="83"/>
      <c r="GR126" s="83"/>
      <c r="GS126" s="83"/>
      <c r="GT126" s="83"/>
      <c r="GU126" s="83"/>
      <c r="GV126" s="83"/>
      <c r="GW126" s="83"/>
      <c r="GX126" s="83"/>
      <c r="GY126" s="83"/>
      <c r="GZ126" s="83"/>
      <c r="HA126" s="83"/>
      <c r="HB126" s="83"/>
      <c r="HC126" s="83"/>
      <c r="HD126" s="83"/>
      <c r="HE126" s="83"/>
      <c r="HF126" s="83"/>
      <c r="HG126" s="83"/>
      <c r="HH126" s="83"/>
      <c r="HI126" s="83"/>
      <c r="HJ126" s="83"/>
      <c r="HK126" s="83"/>
      <c r="HL126" s="83"/>
      <c r="HM126" s="83"/>
      <c r="HN126" s="83"/>
      <c r="HO126" s="83"/>
      <c r="HP126" s="83"/>
      <c r="HQ126" s="83"/>
      <c r="HR126" s="83"/>
      <c r="HS126" s="83"/>
      <c r="HT126" s="83"/>
      <c r="HU126" s="83"/>
      <c r="HV126" s="83"/>
      <c r="HW126" s="83"/>
      <c r="HX126" s="83"/>
      <c r="HY126" s="83"/>
      <c r="HZ126" s="83"/>
      <c r="IA126" s="83"/>
      <c r="IB126" s="83"/>
      <c r="IC126" s="83"/>
      <c r="ID126" s="83"/>
      <c r="IE126" s="83"/>
      <c r="IF126" s="83"/>
      <c r="IG126" s="83"/>
      <c r="IH126" s="83"/>
      <c r="II126" s="83"/>
      <c r="IJ126" s="83"/>
      <c r="IK126" s="83"/>
      <c r="IL126" s="83"/>
      <c r="IM126" s="83"/>
      <c r="IN126" s="83"/>
      <c r="IO126" s="83"/>
      <c r="IP126" s="83"/>
      <c r="IQ126" s="83"/>
      <c r="IR126" s="83"/>
      <c r="IS126" s="83"/>
      <c r="IT126" s="83"/>
      <c r="IU126" s="83"/>
      <c r="IV126" s="83"/>
      <c r="IW126" s="83"/>
      <c r="IX126" s="83"/>
      <c r="IY126" s="83"/>
      <c r="IZ126" s="83"/>
      <c r="JA126" s="83"/>
      <c r="JB126" s="83"/>
      <c r="JC126" s="83"/>
      <c r="JD126" s="83"/>
      <c r="JE126" s="83"/>
      <c r="JF126" s="83"/>
      <c r="JG126" s="83"/>
      <c r="JH126" s="83"/>
      <c r="JI126" s="83"/>
      <c r="JJ126" s="83"/>
      <c r="JK126" s="83"/>
      <c r="JL126" s="83"/>
      <c r="JM126" s="83"/>
      <c r="JN126" s="83"/>
      <c r="JO126" s="83"/>
      <c r="JP126" s="83"/>
      <c r="JQ126" s="83"/>
      <c r="JR126" s="83"/>
      <c r="JS126" s="83"/>
      <c r="JT126" s="83"/>
      <c r="JU126" s="83"/>
      <c r="JV126" s="83"/>
      <c r="JW126" s="83"/>
      <c r="JX126" s="83"/>
      <c r="JY126" s="83"/>
      <c r="JZ126" s="83"/>
      <c r="KA126" s="83"/>
      <c r="KB126" s="83"/>
      <c r="KC126" s="83"/>
      <c r="KD126" s="83"/>
      <c r="KE126" s="83"/>
      <c r="KF126" s="83"/>
      <c r="KG126" s="83"/>
      <c r="KH126" s="83"/>
      <c r="KI126" s="83"/>
      <c r="KJ126" s="83"/>
      <c r="KK126" s="83"/>
      <c r="KL126" s="83"/>
      <c r="KM126" s="83"/>
      <c r="KN126" s="83"/>
      <c r="KO126" s="83"/>
      <c r="KP126" s="83"/>
      <c r="KQ126" s="83"/>
      <c r="KR126" s="83"/>
      <c r="KS126" s="83"/>
      <c r="KT126" s="83"/>
      <c r="KU126" s="83"/>
      <c r="KV126" s="83"/>
      <c r="KW126" s="83"/>
      <c r="KX126" s="83"/>
      <c r="KY126" s="83"/>
      <c r="KZ126" s="83"/>
      <c r="LA126" s="83"/>
      <c r="LB126" s="83"/>
      <c r="LC126" s="83"/>
      <c r="LD126" s="83"/>
      <c r="LE126" s="83"/>
      <c r="LF126" s="83"/>
      <c r="LG126" s="83"/>
      <c r="LH126" s="83"/>
      <c r="LI126" s="83"/>
      <c r="LJ126" s="83"/>
      <c r="LK126" s="83"/>
      <c r="LL126" s="83"/>
      <c r="LM126" s="83"/>
      <c r="LN126" s="83"/>
      <c r="LO126" s="83"/>
      <c r="LP126" s="83"/>
      <c r="LQ126" s="83"/>
      <c r="LR126" s="83"/>
      <c r="LS126" s="83"/>
      <c r="LT126" s="83"/>
      <c r="LU126" s="83"/>
      <c r="LV126" s="83"/>
      <c r="LW126" s="83"/>
      <c r="LX126" s="83"/>
      <c r="LY126" s="83"/>
      <c r="LZ126" s="83"/>
      <c r="MA126" s="83"/>
      <c r="MB126" s="83"/>
      <c r="MC126" s="83"/>
      <c r="MD126" s="83"/>
      <c r="ME126" s="83"/>
      <c r="MF126" s="83"/>
      <c r="MG126" s="83"/>
      <c r="MH126" s="83"/>
      <c r="MI126" s="83"/>
      <c r="MJ126" s="83"/>
      <c r="MK126" s="83"/>
      <c r="ML126" s="83"/>
      <c r="MM126" s="83"/>
      <c r="MN126" s="83"/>
      <c r="MO126" s="83"/>
      <c r="MP126" s="83"/>
      <c r="MQ126" s="83"/>
      <c r="MR126" s="83"/>
      <c r="MS126" s="83"/>
      <c r="MT126" s="83"/>
      <c r="MU126" s="83"/>
      <c r="MV126" s="83"/>
      <c r="MW126" s="83"/>
      <c r="MX126" s="83"/>
      <c r="MY126" s="83"/>
      <c r="MZ126" s="83"/>
      <c r="NA126" s="83"/>
      <c r="NB126" s="83"/>
      <c r="NC126" s="83"/>
      <c r="ND126" s="83"/>
      <c r="NE126" s="83"/>
      <c r="NF126" s="83"/>
      <c r="NG126" s="83"/>
      <c r="NH126" s="83"/>
      <c r="NI126" s="83"/>
      <c r="NJ126" s="83"/>
      <c r="NK126" s="83"/>
      <c r="NL126" s="83"/>
      <c r="NM126" s="83"/>
      <c r="NN126" s="83"/>
      <c r="NO126" s="83"/>
      <c r="NP126" s="83"/>
      <c r="NQ126" s="83"/>
      <c r="NR126" s="83"/>
      <c r="NS126" s="83"/>
      <c r="NT126" s="83"/>
      <c r="NU126" s="83"/>
      <c r="NV126" s="83"/>
      <c r="NW126" s="83"/>
      <c r="NX126" s="83"/>
      <c r="NY126" s="83"/>
      <c r="NZ126" s="83"/>
      <c r="OA126" s="83"/>
      <c r="OB126" s="83"/>
      <c r="OC126" s="83"/>
      <c r="OD126" s="83"/>
      <c r="OE126" s="83"/>
      <c r="OF126" s="83"/>
      <c r="OG126" s="83"/>
      <c r="OH126" s="83"/>
      <c r="OI126" s="83"/>
      <c r="OJ126" s="83"/>
      <c r="OK126" s="83"/>
      <c r="OL126" s="83"/>
      <c r="OM126" s="83"/>
      <c r="ON126" s="83"/>
      <c r="OO126" s="83"/>
      <c r="OP126" s="83"/>
      <c r="OQ126" s="83"/>
      <c r="OR126" s="83"/>
      <c r="OS126" s="83"/>
      <c r="OT126" s="83"/>
      <c r="OU126" s="83"/>
      <c r="OV126" s="83"/>
      <c r="OW126" s="83"/>
      <c r="OX126" s="83"/>
      <c r="OY126" s="83"/>
      <c r="OZ126" s="83"/>
      <c r="PA126" s="83"/>
      <c r="PB126" s="83"/>
      <c r="PC126" s="83"/>
      <c r="PD126" s="83"/>
      <c r="PE126" s="83"/>
      <c r="PF126" s="83"/>
      <c r="PG126" s="83"/>
      <c r="PH126" s="83"/>
      <c r="PI126" s="83"/>
      <c r="PJ126" s="83"/>
      <c r="PK126" s="83"/>
      <c r="PL126" s="83"/>
      <c r="PM126" s="83"/>
      <c r="PN126" s="83"/>
      <c r="PO126" s="83"/>
      <c r="PP126" s="83"/>
      <c r="PQ126" s="83"/>
      <c r="PR126" s="83"/>
      <c r="PS126" s="83"/>
      <c r="PT126" s="83"/>
      <c r="PU126" s="83"/>
      <c r="PV126" s="83"/>
      <c r="PW126" s="83"/>
      <c r="PX126" s="83"/>
      <c r="PY126" s="83"/>
      <c r="PZ126" s="83"/>
      <c r="QA126" s="83"/>
      <c r="QB126" s="83"/>
      <c r="QC126" s="83"/>
      <c r="QD126" s="83"/>
      <c r="QE126" s="83"/>
      <c r="QF126" s="83"/>
      <c r="QG126" s="83"/>
      <c r="QH126" s="83"/>
      <c r="QI126" s="83"/>
      <c r="QJ126" s="83"/>
      <c r="QK126" s="83"/>
      <c r="QL126" s="83"/>
      <c r="QM126" s="83"/>
      <c r="QN126" s="83"/>
      <c r="QO126" s="83"/>
      <c r="QP126" s="83"/>
      <c r="QQ126" s="83"/>
      <c r="QR126" s="83"/>
      <c r="QS126" s="83"/>
      <c r="QT126" s="83"/>
      <c r="QU126" s="83"/>
      <c r="QV126" s="83"/>
      <c r="QW126" s="83"/>
      <c r="QX126" s="83"/>
      <c r="QY126" s="83"/>
      <c r="QZ126" s="83"/>
      <c r="RA126" s="83"/>
      <c r="RB126" s="83"/>
      <c r="RC126" s="83"/>
      <c r="RD126" s="83"/>
      <c r="RE126" s="83"/>
      <c r="RF126" s="83"/>
      <c r="RG126" s="83"/>
      <c r="RH126" s="83"/>
      <c r="RI126" s="83"/>
      <c r="RJ126" s="83"/>
      <c r="RK126" s="83"/>
      <c r="RL126" s="83"/>
      <c r="RM126" s="83"/>
      <c r="RN126" s="83"/>
      <c r="RO126" s="83"/>
      <c r="RP126" s="83"/>
      <c r="RQ126" s="83"/>
      <c r="RR126" s="83"/>
      <c r="RS126" s="83"/>
      <c r="RT126" s="83"/>
      <c r="RU126" s="83"/>
      <c r="RV126" s="83"/>
      <c r="RW126" s="83"/>
      <c r="RX126" s="83"/>
      <c r="RY126" s="83"/>
      <c r="RZ126" s="83"/>
      <c r="SA126" s="83"/>
      <c r="SB126" s="83"/>
      <c r="SC126" s="83"/>
      <c r="SD126" s="83"/>
      <c r="SE126" s="83"/>
      <c r="SF126" s="83"/>
      <c r="SG126" s="83"/>
      <c r="SH126" s="83"/>
      <c r="SI126" s="83"/>
      <c r="SJ126" s="83"/>
      <c r="SK126" s="83"/>
      <c r="SL126" s="83"/>
      <c r="SM126" s="83"/>
      <c r="SN126" s="83"/>
      <c r="SO126" s="83"/>
      <c r="SP126" s="83"/>
      <c r="SQ126" s="83"/>
      <c r="SR126" s="83"/>
      <c r="SS126" s="83"/>
      <c r="ST126" s="83"/>
    </row>
    <row r="127" spans="1:514" s="376" customFormat="1" ht="43.2" customHeight="1" x14ac:dyDescent="0.25">
      <c r="A127" s="373"/>
      <c r="B127" s="742" t="s">
        <v>586</v>
      </c>
      <c r="C127" s="902"/>
      <c r="D127" s="373" t="s">
        <v>130</v>
      </c>
      <c r="E127" s="374">
        <v>13</v>
      </c>
      <c r="F127" s="374">
        <v>0</v>
      </c>
      <c r="G127" s="639">
        <v>0</v>
      </c>
      <c r="H127" s="374">
        <v>0</v>
      </c>
      <c r="I127" s="374">
        <v>0</v>
      </c>
      <c r="J127" s="375">
        <v>12105.17</v>
      </c>
      <c r="K127" s="375">
        <v>0</v>
      </c>
      <c r="L127" s="375">
        <v>0</v>
      </c>
      <c r="M127" s="375">
        <f t="shared" si="137"/>
        <v>12105.17</v>
      </c>
      <c r="N127" s="375">
        <f t="shared" si="140"/>
        <v>0</v>
      </c>
      <c r="O127" s="375">
        <f t="shared" si="138"/>
        <v>0</v>
      </c>
      <c r="P127" s="375"/>
      <c r="Q127" s="375">
        <f t="shared" si="100"/>
        <v>0</v>
      </c>
      <c r="R127" s="375"/>
      <c r="S127" s="375"/>
      <c r="T127" s="375">
        <f t="shared" si="139"/>
        <v>0</v>
      </c>
      <c r="U127" s="375">
        <f t="shared" si="101"/>
        <v>0</v>
      </c>
      <c r="V127" s="375">
        <f t="shared" si="101"/>
        <v>0</v>
      </c>
      <c r="AD127" s="83"/>
      <c r="AE127" s="83"/>
      <c r="AF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3"/>
      <c r="BH127" s="83"/>
      <c r="BI127" s="83"/>
      <c r="BJ127" s="83"/>
      <c r="BK127" s="83"/>
      <c r="BL127" s="83"/>
      <c r="BM127" s="83"/>
      <c r="BN127" s="83"/>
      <c r="BO127" s="83"/>
      <c r="BP127" s="83"/>
      <c r="BQ127" s="83"/>
      <c r="BR127" s="83"/>
      <c r="BS127" s="83"/>
      <c r="BT127" s="83"/>
      <c r="BU127" s="83"/>
      <c r="BV127" s="83"/>
      <c r="BW127" s="83"/>
      <c r="BX127" s="83"/>
      <c r="BY127" s="83"/>
      <c r="BZ127" s="83"/>
      <c r="CA127" s="83"/>
      <c r="CB127" s="83"/>
      <c r="CC127" s="83"/>
      <c r="CD127" s="83"/>
      <c r="CE127" s="83"/>
      <c r="CF127" s="83"/>
      <c r="CG127" s="83"/>
      <c r="CH127" s="83"/>
      <c r="CI127" s="83"/>
      <c r="CJ127" s="83"/>
      <c r="CK127" s="83"/>
      <c r="CL127" s="83"/>
      <c r="CM127" s="83"/>
      <c r="CN127" s="83"/>
      <c r="CO127" s="83"/>
      <c r="CP127" s="83"/>
      <c r="CQ127" s="83"/>
      <c r="CR127" s="83"/>
      <c r="CS127" s="83"/>
      <c r="CT127" s="83"/>
      <c r="CU127" s="83"/>
      <c r="CV127" s="83"/>
      <c r="CW127" s="83"/>
      <c r="CX127" s="83"/>
      <c r="CY127" s="83"/>
      <c r="CZ127" s="83"/>
      <c r="DA127" s="83"/>
      <c r="DB127" s="83"/>
      <c r="DC127" s="83"/>
      <c r="DD127" s="83"/>
      <c r="DE127" s="83"/>
      <c r="DF127" s="83"/>
      <c r="DG127" s="83"/>
      <c r="DH127" s="83"/>
      <c r="DI127" s="83"/>
      <c r="DJ127" s="83"/>
      <c r="DK127" s="83"/>
      <c r="DL127" s="83"/>
      <c r="DM127" s="83"/>
      <c r="DN127" s="83"/>
      <c r="DO127" s="83"/>
      <c r="DP127" s="83"/>
      <c r="DQ127" s="83"/>
      <c r="DR127" s="83"/>
      <c r="DS127" s="83"/>
      <c r="DT127" s="83"/>
      <c r="DU127" s="83"/>
      <c r="DV127" s="83"/>
      <c r="DW127" s="83"/>
      <c r="DX127" s="83"/>
      <c r="DY127" s="83"/>
      <c r="DZ127" s="83"/>
      <c r="EA127" s="83"/>
      <c r="EB127" s="83"/>
      <c r="EC127" s="83"/>
      <c r="ED127" s="83"/>
      <c r="EE127" s="83"/>
      <c r="EF127" s="83"/>
      <c r="EG127" s="83"/>
      <c r="EH127" s="83"/>
      <c r="EI127" s="83"/>
      <c r="EJ127" s="83"/>
      <c r="EK127" s="83"/>
      <c r="EL127" s="83"/>
      <c r="EM127" s="83"/>
      <c r="EN127" s="83"/>
      <c r="EO127" s="83"/>
      <c r="EP127" s="83"/>
      <c r="EQ127" s="83"/>
      <c r="ER127" s="83"/>
      <c r="ES127" s="83"/>
      <c r="ET127" s="83"/>
      <c r="EU127" s="83"/>
      <c r="EV127" s="83"/>
      <c r="EW127" s="83"/>
      <c r="EX127" s="83"/>
      <c r="EY127" s="83"/>
      <c r="EZ127" s="83"/>
      <c r="FA127" s="83"/>
      <c r="FB127" s="83"/>
      <c r="FC127" s="83"/>
      <c r="FD127" s="83"/>
      <c r="FE127" s="83"/>
      <c r="FF127" s="83"/>
      <c r="FG127" s="83"/>
      <c r="FH127" s="83"/>
      <c r="FI127" s="83"/>
      <c r="FJ127" s="83"/>
      <c r="FK127" s="83"/>
      <c r="FL127" s="83"/>
      <c r="FM127" s="83"/>
      <c r="FN127" s="83"/>
      <c r="FO127" s="83"/>
      <c r="FP127" s="83"/>
      <c r="FQ127" s="83"/>
      <c r="FR127" s="83"/>
      <c r="FS127" s="83"/>
      <c r="FT127" s="83"/>
      <c r="FU127" s="83"/>
      <c r="FV127" s="83"/>
      <c r="FW127" s="83"/>
      <c r="FX127" s="83"/>
      <c r="FY127" s="83"/>
      <c r="FZ127" s="83"/>
      <c r="GA127" s="83"/>
      <c r="GB127" s="83"/>
      <c r="GC127" s="83"/>
      <c r="GD127" s="83"/>
      <c r="GE127" s="83"/>
      <c r="GF127" s="83"/>
      <c r="GG127" s="83"/>
      <c r="GH127" s="83"/>
      <c r="GI127" s="83"/>
      <c r="GJ127" s="83"/>
      <c r="GK127" s="83"/>
      <c r="GL127" s="83"/>
      <c r="GM127" s="83"/>
      <c r="GN127" s="83"/>
      <c r="GO127" s="83"/>
      <c r="GP127" s="83"/>
      <c r="GQ127" s="83"/>
      <c r="GR127" s="83"/>
      <c r="GS127" s="83"/>
      <c r="GT127" s="83"/>
      <c r="GU127" s="83"/>
      <c r="GV127" s="83"/>
      <c r="GW127" s="83"/>
      <c r="GX127" s="83"/>
      <c r="GY127" s="83"/>
      <c r="GZ127" s="83"/>
      <c r="HA127" s="83"/>
      <c r="HB127" s="83"/>
      <c r="HC127" s="83"/>
      <c r="HD127" s="83"/>
      <c r="HE127" s="83"/>
      <c r="HF127" s="83"/>
      <c r="HG127" s="83"/>
      <c r="HH127" s="83"/>
      <c r="HI127" s="83"/>
      <c r="HJ127" s="83"/>
      <c r="HK127" s="83"/>
      <c r="HL127" s="83"/>
      <c r="HM127" s="83"/>
      <c r="HN127" s="83"/>
      <c r="HO127" s="83"/>
      <c r="HP127" s="83"/>
      <c r="HQ127" s="83"/>
      <c r="HR127" s="83"/>
      <c r="HS127" s="83"/>
      <c r="HT127" s="83"/>
      <c r="HU127" s="83"/>
      <c r="HV127" s="83"/>
      <c r="HW127" s="83"/>
      <c r="HX127" s="83"/>
      <c r="HY127" s="83"/>
      <c r="HZ127" s="83"/>
      <c r="IA127" s="83"/>
      <c r="IB127" s="83"/>
      <c r="IC127" s="83"/>
      <c r="ID127" s="83"/>
      <c r="IE127" s="83"/>
      <c r="IF127" s="83"/>
      <c r="IG127" s="83"/>
      <c r="IH127" s="83"/>
      <c r="II127" s="83"/>
      <c r="IJ127" s="83"/>
      <c r="IK127" s="83"/>
      <c r="IL127" s="83"/>
      <c r="IM127" s="83"/>
      <c r="IN127" s="83"/>
      <c r="IO127" s="83"/>
      <c r="IP127" s="83"/>
      <c r="IQ127" s="83"/>
      <c r="IR127" s="83"/>
      <c r="IS127" s="83"/>
      <c r="IT127" s="83"/>
      <c r="IU127" s="83"/>
      <c r="IV127" s="83"/>
      <c r="IW127" s="83"/>
      <c r="IX127" s="83"/>
      <c r="IY127" s="83"/>
      <c r="IZ127" s="83"/>
      <c r="JA127" s="83"/>
      <c r="JB127" s="83"/>
      <c r="JC127" s="83"/>
      <c r="JD127" s="83"/>
      <c r="JE127" s="83"/>
      <c r="JF127" s="83"/>
      <c r="JG127" s="83"/>
      <c r="JH127" s="83"/>
      <c r="JI127" s="83"/>
      <c r="JJ127" s="83"/>
      <c r="JK127" s="83"/>
      <c r="JL127" s="83"/>
      <c r="JM127" s="83"/>
      <c r="JN127" s="83"/>
      <c r="JO127" s="83"/>
      <c r="JP127" s="83"/>
      <c r="JQ127" s="83"/>
      <c r="JR127" s="83"/>
      <c r="JS127" s="83"/>
      <c r="JT127" s="83"/>
      <c r="JU127" s="83"/>
      <c r="JV127" s="83"/>
      <c r="JW127" s="83"/>
      <c r="JX127" s="83"/>
      <c r="JY127" s="83"/>
      <c r="JZ127" s="83"/>
      <c r="KA127" s="83"/>
      <c r="KB127" s="83"/>
      <c r="KC127" s="83"/>
      <c r="KD127" s="83"/>
      <c r="KE127" s="83"/>
      <c r="KF127" s="83"/>
      <c r="KG127" s="83"/>
      <c r="KH127" s="83"/>
      <c r="KI127" s="83"/>
      <c r="KJ127" s="83"/>
      <c r="KK127" s="83"/>
      <c r="KL127" s="83"/>
      <c r="KM127" s="83"/>
      <c r="KN127" s="83"/>
      <c r="KO127" s="83"/>
      <c r="KP127" s="83"/>
      <c r="KQ127" s="83"/>
      <c r="KR127" s="83"/>
      <c r="KS127" s="83"/>
      <c r="KT127" s="83"/>
      <c r="KU127" s="83"/>
      <c r="KV127" s="83"/>
      <c r="KW127" s="83"/>
      <c r="KX127" s="83"/>
      <c r="KY127" s="83"/>
      <c r="KZ127" s="83"/>
      <c r="LA127" s="83"/>
      <c r="LB127" s="83"/>
      <c r="LC127" s="83"/>
      <c r="LD127" s="83"/>
      <c r="LE127" s="83"/>
      <c r="LF127" s="83"/>
      <c r="LG127" s="83"/>
      <c r="LH127" s="83"/>
      <c r="LI127" s="83"/>
      <c r="LJ127" s="83"/>
      <c r="LK127" s="83"/>
      <c r="LL127" s="83"/>
      <c r="LM127" s="83"/>
      <c r="LN127" s="83"/>
      <c r="LO127" s="83"/>
      <c r="LP127" s="83"/>
      <c r="LQ127" s="83"/>
      <c r="LR127" s="83"/>
      <c r="LS127" s="83"/>
      <c r="LT127" s="83"/>
      <c r="LU127" s="83"/>
      <c r="LV127" s="83"/>
      <c r="LW127" s="83"/>
      <c r="LX127" s="83"/>
      <c r="LY127" s="83"/>
      <c r="LZ127" s="83"/>
      <c r="MA127" s="83"/>
      <c r="MB127" s="83"/>
      <c r="MC127" s="83"/>
      <c r="MD127" s="83"/>
      <c r="ME127" s="83"/>
      <c r="MF127" s="83"/>
      <c r="MG127" s="83"/>
      <c r="MH127" s="83"/>
      <c r="MI127" s="83"/>
      <c r="MJ127" s="83"/>
      <c r="MK127" s="83"/>
      <c r="ML127" s="83"/>
      <c r="MM127" s="83"/>
      <c r="MN127" s="83"/>
      <c r="MO127" s="83"/>
      <c r="MP127" s="83"/>
      <c r="MQ127" s="83"/>
      <c r="MR127" s="83"/>
      <c r="MS127" s="83"/>
      <c r="MT127" s="83"/>
      <c r="MU127" s="83"/>
      <c r="MV127" s="83"/>
      <c r="MW127" s="83"/>
      <c r="MX127" s="83"/>
      <c r="MY127" s="83"/>
      <c r="MZ127" s="83"/>
      <c r="NA127" s="83"/>
      <c r="NB127" s="83"/>
      <c r="NC127" s="83"/>
      <c r="ND127" s="83"/>
      <c r="NE127" s="83"/>
      <c r="NF127" s="83"/>
      <c r="NG127" s="83"/>
      <c r="NH127" s="83"/>
      <c r="NI127" s="83"/>
      <c r="NJ127" s="83"/>
      <c r="NK127" s="83"/>
      <c r="NL127" s="83"/>
      <c r="NM127" s="83"/>
      <c r="NN127" s="83"/>
      <c r="NO127" s="83"/>
      <c r="NP127" s="83"/>
      <c r="NQ127" s="83"/>
      <c r="NR127" s="83"/>
      <c r="NS127" s="83"/>
      <c r="NT127" s="83"/>
      <c r="NU127" s="83"/>
      <c r="NV127" s="83"/>
      <c r="NW127" s="83"/>
      <c r="NX127" s="83"/>
      <c r="NY127" s="83"/>
      <c r="NZ127" s="83"/>
      <c r="OA127" s="83"/>
      <c r="OB127" s="83"/>
      <c r="OC127" s="83"/>
      <c r="OD127" s="83"/>
      <c r="OE127" s="83"/>
      <c r="OF127" s="83"/>
      <c r="OG127" s="83"/>
      <c r="OH127" s="83"/>
      <c r="OI127" s="83"/>
      <c r="OJ127" s="83"/>
      <c r="OK127" s="83"/>
      <c r="OL127" s="83"/>
      <c r="OM127" s="83"/>
      <c r="ON127" s="83"/>
      <c r="OO127" s="83"/>
      <c r="OP127" s="83"/>
      <c r="OQ127" s="83"/>
      <c r="OR127" s="83"/>
      <c r="OS127" s="83"/>
      <c r="OT127" s="83"/>
      <c r="OU127" s="83"/>
      <c r="OV127" s="83"/>
      <c r="OW127" s="83"/>
      <c r="OX127" s="83"/>
      <c r="OY127" s="83"/>
      <c r="OZ127" s="83"/>
      <c r="PA127" s="83"/>
      <c r="PB127" s="83"/>
      <c r="PC127" s="83"/>
      <c r="PD127" s="83"/>
      <c r="PE127" s="83"/>
      <c r="PF127" s="83"/>
      <c r="PG127" s="83"/>
      <c r="PH127" s="83"/>
      <c r="PI127" s="83"/>
      <c r="PJ127" s="83"/>
      <c r="PK127" s="83"/>
      <c r="PL127" s="83"/>
      <c r="PM127" s="83"/>
      <c r="PN127" s="83"/>
      <c r="PO127" s="83"/>
      <c r="PP127" s="83"/>
      <c r="PQ127" s="83"/>
      <c r="PR127" s="83"/>
      <c r="PS127" s="83"/>
      <c r="PT127" s="83"/>
      <c r="PU127" s="83"/>
      <c r="PV127" s="83"/>
      <c r="PW127" s="83"/>
      <c r="PX127" s="83"/>
      <c r="PY127" s="83"/>
      <c r="PZ127" s="83"/>
      <c r="QA127" s="83"/>
      <c r="QB127" s="83"/>
      <c r="QC127" s="83"/>
      <c r="QD127" s="83"/>
      <c r="QE127" s="83"/>
      <c r="QF127" s="83"/>
      <c r="QG127" s="83"/>
      <c r="QH127" s="83"/>
      <c r="QI127" s="83"/>
      <c r="QJ127" s="83"/>
      <c r="QK127" s="83"/>
      <c r="QL127" s="83"/>
      <c r="QM127" s="83"/>
      <c r="QN127" s="83"/>
      <c r="QO127" s="83"/>
      <c r="QP127" s="83"/>
      <c r="QQ127" s="83"/>
      <c r="QR127" s="83"/>
      <c r="QS127" s="83"/>
      <c r="QT127" s="83"/>
      <c r="QU127" s="83"/>
      <c r="QV127" s="83"/>
      <c r="QW127" s="83"/>
      <c r="QX127" s="83"/>
      <c r="QY127" s="83"/>
      <c r="QZ127" s="83"/>
      <c r="RA127" s="83"/>
      <c r="RB127" s="83"/>
      <c r="RC127" s="83"/>
      <c r="RD127" s="83"/>
      <c r="RE127" s="83"/>
      <c r="RF127" s="83"/>
      <c r="RG127" s="83"/>
      <c r="RH127" s="83"/>
      <c r="RI127" s="83"/>
      <c r="RJ127" s="83"/>
      <c r="RK127" s="83"/>
      <c r="RL127" s="83"/>
      <c r="RM127" s="83"/>
      <c r="RN127" s="83"/>
      <c r="RO127" s="83"/>
      <c r="RP127" s="83"/>
      <c r="RQ127" s="83"/>
      <c r="RR127" s="83"/>
      <c r="RS127" s="83"/>
      <c r="RT127" s="83"/>
      <c r="RU127" s="83"/>
      <c r="RV127" s="83"/>
      <c r="RW127" s="83"/>
      <c r="RX127" s="83"/>
      <c r="RY127" s="83"/>
      <c r="RZ127" s="83"/>
      <c r="SA127" s="83"/>
      <c r="SB127" s="83"/>
      <c r="SC127" s="83"/>
      <c r="SD127" s="83"/>
      <c r="SE127" s="83"/>
      <c r="SF127" s="83"/>
      <c r="SG127" s="83"/>
      <c r="SH127" s="83"/>
      <c r="SI127" s="83"/>
      <c r="SJ127" s="83"/>
      <c r="SK127" s="83"/>
      <c r="SL127" s="83"/>
      <c r="SM127" s="83"/>
      <c r="SN127" s="83"/>
      <c r="SO127" s="83"/>
      <c r="SP127" s="83"/>
      <c r="SQ127" s="83"/>
      <c r="SR127" s="83"/>
      <c r="SS127" s="83"/>
      <c r="ST127" s="83"/>
    </row>
    <row r="128" spans="1:514" s="376" customFormat="1" ht="47.4" customHeight="1" x14ac:dyDescent="0.25">
      <c r="A128" s="373"/>
      <c r="B128" s="742" t="s">
        <v>452</v>
      </c>
      <c r="C128" s="902"/>
      <c r="D128" s="373" t="s">
        <v>130</v>
      </c>
      <c r="E128" s="374">
        <v>6</v>
      </c>
      <c r="F128" s="374">
        <v>0</v>
      </c>
      <c r="G128" s="639">
        <v>0</v>
      </c>
      <c r="H128" s="374">
        <v>0</v>
      </c>
      <c r="I128" s="374">
        <v>0</v>
      </c>
      <c r="J128" s="375">
        <v>12105.17</v>
      </c>
      <c r="K128" s="375">
        <v>0</v>
      </c>
      <c r="L128" s="375">
        <v>0</v>
      </c>
      <c r="M128" s="375">
        <f t="shared" si="137"/>
        <v>12105.17</v>
      </c>
      <c r="N128" s="375">
        <f t="shared" si="140"/>
        <v>0</v>
      </c>
      <c r="O128" s="375">
        <f t="shared" si="138"/>
        <v>0</v>
      </c>
      <c r="P128" s="375"/>
      <c r="Q128" s="375">
        <f t="shared" si="100"/>
        <v>0</v>
      </c>
      <c r="R128" s="375"/>
      <c r="S128" s="375"/>
      <c r="T128" s="375">
        <f t="shared" si="139"/>
        <v>0</v>
      </c>
      <c r="U128" s="375">
        <f t="shared" si="101"/>
        <v>0</v>
      </c>
      <c r="V128" s="375">
        <f t="shared" si="101"/>
        <v>0</v>
      </c>
      <c r="AD128" s="83"/>
      <c r="AE128" s="83"/>
      <c r="AF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  <c r="BI128" s="83"/>
      <c r="BJ128" s="83"/>
      <c r="BK128" s="83"/>
      <c r="BL128" s="83"/>
      <c r="BM128" s="83"/>
      <c r="BN128" s="83"/>
      <c r="BO128" s="83"/>
      <c r="BP128" s="83"/>
      <c r="BQ128" s="83"/>
      <c r="BR128" s="83"/>
      <c r="BS128" s="83"/>
      <c r="BT128" s="83"/>
      <c r="BU128" s="83"/>
      <c r="BV128" s="83"/>
      <c r="BW128" s="83"/>
      <c r="BX128" s="83"/>
      <c r="BY128" s="83"/>
      <c r="BZ128" s="83"/>
      <c r="CA128" s="83"/>
      <c r="CB128" s="83"/>
      <c r="CC128" s="83"/>
      <c r="CD128" s="83"/>
      <c r="CE128" s="83"/>
      <c r="CF128" s="83"/>
      <c r="CG128" s="83"/>
      <c r="CH128" s="83"/>
      <c r="CI128" s="83"/>
      <c r="CJ128" s="83"/>
      <c r="CK128" s="83"/>
      <c r="CL128" s="83"/>
      <c r="CM128" s="83"/>
      <c r="CN128" s="83"/>
      <c r="CO128" s="83"/>
      <c r="CP128" s="83"/>
      <c r="CQ128" s="83"/>
      <c r="CR128" s="83"/>
      <c r="CS128" s="83"/>
      <c r="CT128" s="83"/>
      <c r="CU128" s="83"/>
      <c r="CV128" s="83"/>
      <c r="CW128" s="83"/>
      <c r="CX128" s="83"/>
      <c r="CY128" s="83"/>
      <c r="CZ128" s="83"/>
      <c r="DA128" s="83"/>
      <c r="DB128" s="83"/>
      <c r="DC128" s="83"/>
      <c r="DD128" s="83"/>
      <c r="DE128" s="83"/>
      <c r="DF128" s="83"/>
      <c r="DG128" s="83"/>
      <c r="DH128" s="83"/>
      <c r="DI128" s="83"/>
      <c r="DJ128" s="83"/>
      <c r="DK128" s="83"/>
      <c r="DL128" s="83"/>
      <c r="DM128" s="83"/>
      <c r="DN128" s="83"/>
      <c r="DO128" s="83"/>
      <c r="DP128" s="83"/>
      <c r="DQ128" s="83"/>
      <c r="DR128" s="83"/>
      <c r="DS128" s="83"/>
      <c r="DT128" s="83"/>
      <c r="DU128" s="83"/>
      <c r="DV128" s="83"/>
      <c r="DW128" s="83"/>
      <c r="DX128" s="83"/>
      <c r="DY128" s="83"/>
      <c r="DZ128" s="83"/>
      <c r="EA128" s="83"/>
      <c r="EB128" s="83"/>
      <c r="EC128" s="83"/>
      <c r="ED128" s="83"/>
      <c r="EE128" s="83"/>
      <c r="EF128" s="83"/>
      <c r="EG128" s="83"/>
      <c r="EH128" s="83"/>
      <c r="EI128" s="83"/>
      <c r="EJ128" s="83"/>
      <c r="EK128" s="83"/>
      <c r="EL128" s="83"/>
      <c r="EM128" s="83"/>
      <c r="EN128" s="83"/>
      <c r="EO128" s="83"/>
      <c r="EP128" s="83"/>
      <c r="EQ128" s="83"/>
      <c r="ER128" s="83"/>
      <c r="ES128" s="83"/>
      <c r="ET128" s="83"/>
      <c r="EU128" s="83"/>
      <c r="EV128" s="83"/>
      <c r="EW128" s="83"/>
      <c r="EX128" s="83"/>
      <c r="EY128" s="83"/>
      <c r="EZ128" s="83"/>
      <c r="FA128" s="83"/>
      <c r="FB128" s="83"/>
      <c r="FC128" s="83"/>
      <c r="FD128" s="83"/>
      <c r="FE128" s="83"/>
      <c r="FF128" s="83"/>
      <c r="FG128" s="83"/>
      <c r="FH128" s="83"/>
      <c r="FI128" s="83"/>
      <c r="FJ128" s="83"/>
      <c r="FK128" s="83"/>
      <c r="FL128" s="83"/>
      <c r="FM128" s="83"/>
      <c r="FN128" s="83"/>
      <c r="FO128" s="83"/>
      <c r="FP128" s="83"/>
      <c r="FQ128" s="83"/>
      <c r="FR128" s="83"/>
      <c r="FS128" s="83"/>
      <c r="FT128" s="83"/>
      <c r="FU128" s="83"/>
      <c r="FV128" s="83"/>
      <c r="FW128" s="83"/>
      <c r="FX128" s="83"/>
      <c r="FY128" s="83"/>
      <c r="FZ128" s="83"/>
      <c r="GA128" s="83"/>
      <c r="GB128" s="83"/>
      <c r="GC128" s="83"/>
      <c r="GD128" s="83"/>
      <c r="GE128" s="83"/>
      <c r="GF128" s="83"/>
      <c r="GG128" s="83"/>
      <c r="GH128" s="83"/>
      <c r="GI128" s="83"/>
      <c r="GJ128" s="83"/>
      <c r="GK128" s="83"/>
      <c r="GL128" s="83"/>
      <c r="GM128" s="83"/>
      <c r="GN128" s="83"/>
      <c r="GO128" s="83"/>
      <c r="GP128" s="83"/>
      <c r="GQ128" s="83"/>
      <c r="GR128" s="83"/>
      <c r="GS128" s="83"/>
      <c r="GT128" s="83"/>
      <c r="GU128" s="83"/>
      <c r="GV128" s="83"/>
      <c r="GW128" s="83"/>
      <c r="GX128" s="83"/>
      <c r="GY128" s="83"/>
      <c r="GZ128" s="83"/>
      <c r="HA128" s="83"/>
      <c r="HB128" s="83"/>
      <c r="HC128" s="83"/>
      <c r="HD128" s="83"/>
      <c r="HE128" s="83"/>
      <c r="HF128" s="83"/>
      <c r="HG128" s="83"/>
      <c r="HH128" s="83"/>
      <c r="HI128" s="83"/>
      <c r="HJ128" s="83"/>
      <c r="HK128" s="83"/>
      <c r="HL128" s="83"/>
      <c r="HM128" s="83"/>
      <c r="HN128" s="83"/>
      <c r="HO128" s="83"/>
      <c r="HP128" s="83"/>
      <c r="HQ128" s="83"/>
      <c r="HR128" s="83"/>
      <c r="HS128" s="83"/>
      <c r="HT128" s="83"/>
      <c r="HU128" s="83"/>
      <c r="HV128" s="83"/>
      <c r="HW128" s="83"/>
      <c r="HX128" s="83"/>
      <c r="HY128" s="83"/>
      <c r="HZ128" s="83"/>
      <c r="IA128" s="83"/>
      <c r="IB128" s="83"/>
      <c r="IC128" s="83"/>
      <c r="ID128" s="83"/>
      <c r="IE128" s="83"/>
      <c r="IF128" s="83"/>
      <c r="IG128" s="83"/>
      <c r="IH128" s="83"/>
      <c r="II128" s="83"/>
      <c r="IJ128" s="83"/>
      <c r="IK128" s="83"/>
      <c r="IL128" s="83"/>
      <c r="IM128" s="83"/>
      <c r="IN128" s="83"/>
      <c r="IO128" s="83"/>
      <c r="IP128" s="83"/>
      <c r="IQ128" s="83"/>
      <c r="IR128" s="83"/>
      <c r="IS128" s="83"/>
      <c r="IT128" s="83"/>
      <c r="IU128" s="83"/>
      <c r="IV128" s="83"/>
      <c r="IW128" s="83"/>
      <c r="IX128" s="83"/>
      <c r="IY128" s="83"/>
      <c r="IZ128" s="83"/>
      <c r="JA128" s="83"/>
      <c r="JB128" s="83"/>
      <c r="JC128" s="83"/>
      <c r="JD128" s="83"/>
      <c r="JE128" s="83"/>
      <c r="JF128" s="83"/>
      <c r="JG128" s="83"/>
      <c r="JH128" s="83"/>
      <c r="JI128" s="83"/>
      <c r="JJ128" s="83"/>
      <c r="JK128" s="83"/>
      <c r="JL128" s="83"/>
      <c r="JM128" s="83"/>
      <c r="JN128" s="83"/>
      <c r="JO128" s="83"/>
      <c r="JP128" s="83"/>
      <c r="JQ128" s="83"/>
      <c r="JR128" s="83"/>
      <c r="JS128" s="83"/>
      <c r="JT128" s="83"/>
      <c r="JU128" s="83"/>
      <c r="JV128" s="83"/>
      <c r="JW128" s="83"/>
      <c r="JX128" s="83"/>
      <c r="JY128" s="83"/>
      <c r="JZ128" s="83"/>
      <c r="KA128" s="83"/>
      <c r="KB128" s="83"/>
      <c r="KC128" s="83"/>
      <c r="KD128" s="83"/>
      <c r="KE128" s="83"/>
      <c r="KF128" s="83"/>
      <c r="KG128" s="83"/>
      <c r="KH128" s="83"/>
      <c r="KI128" s="83"/>
      <c r="KJ128" s="83"/>
      <c r="KK128" s="83"/>
      <c r="KL128" s="83"/>
      <c r="KM128" s="83"/>
      <c r="KN128" s="83"/>
      <c r="KO128" s="83"/>
      <c r="KP128" s="83"/>
      <c r="KQ128" s="83"/>
      <c r="KR128" s="83"/>
      <c r="KS128" s="83"/>
      <c r="KT128" s="83"/>
      <c r="KU128" s="83"/>
      <c r="KV128" s="83"/>
      <c r="KW128" s="83"/>
      <c r="KX128" s="83"/>
      <c r="KY128" s="83"/>
      <c r="KZ128" s="83"/>
      <c r="LA128" s="83"/>
      <c r="LB128" s="83"/>
      <c r="LC128" s="83"/>
      <c r="LD128" s="83"/>
      <c r="LE128" s="83"/>
      <c r="LF128" s="83"/>
      <c r="LG128" s="83"/>
      <c r="LH128" s="83"/>
      <c r="LI128" s="83"/>
      <c r="LJ128" s="83"/>
      <c r="LK128" s="83"/>
      <c r="LL128" s="83"/>
      <c r="LM128" s="83"/>
      <c r="LN128" s="83"/>
      <c r="LO128" s="83"/>
      <c r="LP128" s="83"/>
      <c r="LQ128" s="83"/>
      <c r="LR128" s="83"/>
      <c r="LS128" s="83"/>
      <c r="LT128" s="83"/>
      <c r="LU128" s="83"/>
      <c r="LV128" s="83"/>
      <c r="LW128" s="83"/>
      <c r="LX128" s="83"/>
      <c r="LY128" s="83"/>
      <c r="LZ128" s="83"/>
      <c r="MA128" s="83"/>
      <c r="MB128" s="83"/>
      <c r="MC128" s="83"/>
      <c r="MD128" s="83"/>
      <c r="ME128" s="83"/>
      <c r="MF128" s="83"/>
      <c r="MG128" s="83"/>
      <c r="MH128" s="83"/>
      <c r="MI128" s="83"/>
      <c r="MJ128" s="83"/>
      <c r="MK128" s="83"/>
      <c r="ML128" s="83"/>
      <c r="MM128" s="83"/>
      <c r="MN128" s="83"/>
      <c r="MO128" s="83"/>
      <c r="MP128" s="83"/>
      <c r="MQ128" s="83"/>
      <c r="MR128" s="83"/>
      <c r="MS128" s="83"/>
      <c r="MT128" s="83"/>
      <c r="MU128" s="83"/>
      <c r="MV128" s="83"/>
      <c r="MW128" s="83"/>
      <c r="MX128" s="83"/>
      <c r="MY128" s="83"/>
      <c r="MZ128" s="83"/>
      <c r="NA128" s="83"/>
      <c r="NB128" s="83"/>
      <c r="NC128" s="83"/>
      <c r="ND128" s="83"/>
      <c r="NE128" s="83"/>
      <c r="NF128" s="83"/>
      <c r="NG128" s="83"/>
      <c r="NH128" s="83"/>
      <c r="NI128" s="83"/>
      <c r="NJ128" s="83"/>
      <c r="NK128" s="83"/>
      <c r="NL128" s="83"/>
      <c r="NM128" s="83"/>
      <c r="NN128" s="83"/>
      <c r="NO128" s="83"/>
      <c r="NP128" s="83"/>
      <c r="NQ128" s="83"/>
      <c r="NR128" s="83"/>
      <c r="NS128" s="83"/>
      <c r="NT128" s="83"/>
      <c r="NU128" s="83"/>
      <c r="NV128" s="83"/>
      <c r="NW128" s="83"/>
      <c r="NX128" s="83"/>
      <c r="NY128" s="83"/>
      <c r="NZ128" s="83"/>
      <c r="OA128" s="83"/>
      <c r="OB128" s="83"/>
      <c r="OC128" s="83"/>
      <c r="OD128" s="83"/>
      <c r="OE128" s="83"/>
      <c r="OF128" s="83"/>
      <c r="OG128" s="83"/>
      <c r="OH128" s="83"/>
      <c r="OI128" s="83"/>
      <c r="OJ128" s="83"/>
      <c r="OK128" s="83"/>
      <c r="OL128" s="83"/>
      <c r="OM128" s="83"/>
      <c r="ON128" s="83"/>
      <c r="OO128" s="83"/>
      <c r="OP128" s="83"/>
      <c r="OQ128" s="83"/>
      <c r="OR128" s="83"/>
      <c r="OS128" s="83"/>
      <c r="OT128" s="83"/>
      <c r="OU128" s="83"/>
      <c r="OV128" s="83"/>
      <c r="OW128" s="83"/>
      <c r="OX128" s="83"/>
      <c r="OY128" s="83"/>
      <c r="OZ128" s="83"/>
      <c r="PA128" s="83"/>
      <c r="PB128" s="83"/>
      <c r="PC128" s="83"/>
      <c r="PD128" s="83"/>
      <c r="PE128" s="83"/>
      <c r="PF128" s="83"/>
      <c r="PG128" s="83"/>
      <c r="PH128" s="83"/>
      <c r="PI128" s="83"/>
      <c r="PJ128" s="83"/>
      <c r="PK128" s="83"/>
      <c r="PL128" s="83"/>
      <c r="PM128" s="83"/>
      <c r="PN128" s="83"/>
      <c r="PO128" s="83"/>
      <c r="PP128" s="83"/>
      <c r="PQ128" s="83"/>
      <c r="PR128" s="83"/>
      <c r="PS128" s="83"/>
      <c r="PT128" s="83"/>
      <c r="PU128" s="83"/>
      <c r="PV128" s="83"/>
      <c r="PW128" s="83"/>
      <c r="PX128" s="83"/>
      <c r="PY128" s="83"/>
      <c r="PZ128" s="83"/>
      <c r="QA128" s="83"/>
      <c r="QB128" s="83"/>
      <c r="QC128" s="83"/>
      <c r="QD128" s="83"/>
      <c r="QE128" s="83"/>
      <c r="QF128" s="83"/>
      <c r="QG128" s="83"/>
      <c r="QH128" s="83"/>
      <c r="QI128" s="83"/>
      <c r="QJ128" s="83"/>
      <c r="QK128" s="83"/>
      <c r="QL128" s="83"/>
      <c r="QM128" s="83"/>
      <c r="QN128" s="83"/>
      <c r="QO128" s="83"/>
      <c r="QP128" s="83"/>
      <c r="QQ128" s="83"/>
      <c r="QR128" s="83"/>
      <c r="QS128" s="83"/>
      <c r="QT128" s="83"/>
      <c r="QU128" s="83"/>
      <c r="QV128" s="83"/>
      <c r="QW128" s="83"/>
      <c r="QX128" s="83"/>
      <c r="QY128" s="83"/>
      <c r="QZ128" s="83"/>
      <c r="RA128" s="83"/>
      <c r="RB128" s="83"/>
      <c r="RC128" s="83"/>
      <c r="RD128" s="83"/>
      <c r="RE128" s="83"/>
      <c r="RF128" s="83"/>
      <c r="RG128" s="83"/>
      <c r="RH128" s="83"/>
      <c r="RI128" s="83"/>
      <c r="RJ128" s="83"/>
      <c r="RK128" s="83"/>
      <c r="RL128" s="83"/>
      <c r="RM128" s="83"/>
      <c r="RN128" s="83"/>
      <c r="RO128" s="83"/>
      <c r="RP128" s="83"/>
      <c r="RQ128" s="83"/>
      <c r="RR128" s="83"/>
      <c r="RS128" s="83"/>
      <c r="RT128" s="83"/>
      <c r="RU128" s="83"/>
      <c r="RV128" s="83"/>
      <c r="RW128" s="83"/>
      <c r="RX128" s="83"/>
      <c r="RY128" s="83"/>
      <c r="RZ128" s="83"/>
      <c r="SA128" s="83"/>
      <c r="SB128" s="83"/>
      <c r="SC128" s="83"/>
      <c r="SD128" s="83"/>
      <c r="SE128" s="83"/>
      <c r="SF128" s="83"/>
      <c r="SG128" s="83"/>
      <c r="SH128" s="83"/>
      <c r="SI128" s="83"/>
      <c r="SJ128" s="83"/>
      <c r="SK128" s="83"/>
      <c r="SL128" s="83"/>
      <c r="SM128" s="83"/>
      <c r="SN128" s="83"/>
      <c r="SO128" s="83"/>
      <c r="SP128" s="83"/>
      <c r="SQ128" s="83"/>
      <c r="SR128" s="83"/>
      <c r="SS128" s="83"/>
      <c r="ST128" s="83"/>
    </row>
    <row r="129" spans="1:514" s="376" customFormat="1" ht="47.4" customHeight="1" x14ac:dyDescent="0.25">
      <c r="A129" s="373"/>
      <c r="B129" s="742" t="s">
        <v>530</v>
      </c>
      <c r="C129" s="902"/>
      <c r="D129" s="373" t="s">
        <v>130</v>
      </c>
      <c r="E129" s="374">
        <v>0</v>
      </c>
      <c r="F129" s="374">
        <v>5</v>
      </c>
      <c r="G129" s="639">
        <v>5</v>
      </c>
      <c r="H129" s="374">
        <v>2</v>
      </c>
      <c r="I129" s="374">
        <v>2</v>
      </c>
      <c r="J129" s="375">
        <v>9078.8799999999992</v>
      </c>
      <c r="K129" s="375">
        <v>0</v>
      </c>
      <c r="L129" s="375">
        <v>0</v>
      </c>
      <c r="M129" s="375">
        <f t="shared" si="137"/>
        <v>9078.8799999999992</v>
      </c>
      <c r="N129" s="375">
        <f t="shared" si="140"/>
        <v>45394.400000000001</v>
      </c>
      <c r="O129" s="375">
        <f t="shared" si="138"/>
        <v>0</v>
      </c>
      <c r="P129" s="375"/>
      <c r="Q129" s="375">
        <f t="shared" si="100"/>
        <v>0</v>
      </c>
      <c r="R129" s="375"/>
      <c r="S129" s="375"/>
      <c r="T129" s="375">
        <f t="shared" si="139"/>
        <v>45394.400000000001</v>
      </c>
      <c r="U129" s="375">
        <f t="shared" ref="U129:U135" si="141">H129*J129</f>
        <v>18157.759999999998</v>
      </c>
      <c r="V129" s="375">
        <f t="shared" ref="V129:V135" si="142">I129*J129</f>
        <v>18157.759999999998</v>
      </c>
      <c r="AD129" s="83"/>
      <c r="AE129" s="83"/>
      <c r="AF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  <c r="BH129" s="83"/>
      <c r="BI129" s="83"/>
      <c r="BJ129" s="83"/>
      <c r="BK129" s="83"/>
      <c r="BL129" s="83"/>
      <c r="BM129" s="83"/>
      <c r="BN129" s="83"/>
      <c r="BO129" s="83"/>
      <c r="BP129" s="83"/>
      <c r="BQ129" s="83"/>
      <c r="BR129" s="83"/>
      <c r="BS129" s="83"/>
      <c r="BT129" s="83"/>
      <c r="BU129" s="83"/>
      <c r="BV129" s="83"/>
      <c r="BW129" s="83"/>
      <c r="BX129" s="83"/>
      <c r="BY129" s="83"/>
      <c r="BZ129" s="83"/>
      <c r="CA129" s="83"/>
      <c r="CB129" s="83"/>
      <c r="CC129" s="83"/>
      <c r="CD129" s="83"/>
      <c r="CE129" s="83"/>
      <c r="CF129" s="83"/>
      <c r="CG129" s="83"/>
      <c r="CH129" s="83"/>
      <c r="CI129" s="83"/>
      <c r="CJ129" s="83"/>
      <c r="CK129" s="83"/>
      <c r="CL129" s="83"/>
      <c r="CM129" s="83"/>
      <c r="CN129" s="83"/>
      <c r="CO129" s="83"/>
      <c r="CP129" s="83"/>
      <c r="CQ129" s="83"/>
      <c r="CR129" s="83"/>
      <c r="CS129" s="83"/>
      <c r="CT129" s="83"/>
      <c r="CU129" s="83"/>
      <c r="CV129" s="83"/>
      <c r="CW129" s="83"/>
      <c r="CX129" s="83"/>
      <c r="CY129" s="83"/>
      <c r="CZ129" s="83"/>
      <c r="DA129" s="83"/>
      <c r="DB129" s="83"/>
      <c r="DC129" s="83"/>
      <c r="DD129" s="83"/>
      <c r="DE129" s="83"/>
      <c r="DF129" s="83"/>
      <c r="DG129" s="83"/>
      <c r="DH129" s="83"/>
      <c r="DI129" s="83"/>
      <c r="DJ129" s="83"/>
      <c r="DK129" s="83"/>
      <c r="DL129" s="83"/>
      <c r="DM129" s="83"/>
      <c r="DN129" s="83"/>
      <c r="DO129" s="83"/>
      <c r="DP129" s="83"/>
      <c r="DQ129" s="83"/>
      <c r="DR129" s="83"/>
      <c r="DS129" s="83"/>
      <c r="DT129" s="83"/>
      <c r="DU129" s="83"/>
      <c r="DV129" s="83"/>
      <c r="DW129" s="83"/>
      <c r="DX129" s="83"/>
      <c r="DY129" s="83"/>
      <c r="DZ129" s="83"/>
      <c r="EA129" s="83"/>
      <c r="EB129" s="83"/>
      <c r="EC129" s="83"/>
      <c r="ED129" s="83"/>
      <c r="EE129" s="83"/>
      <c r="EF129" s="83"/>
      <c r="EG129" s="83"/>
      <c r="EH129" s="83"/>
      <c r="EI129" s="83"/>
      <c r="EJ129" s="83"/>
      <c r="EK129" s="83"/>
      <c r="EL129" s="83"/>
      <c r="EM129" s="83"/>
      <c r="EN129" s="83"/>
      <c r="EO129" s="83"/>
      <c r="EP129" s="83"/>
      <c r="EQ129" s="83"/>
      <c r="ER129" s="83"/>
      <c r="ES129" s="83"/>
      <c r="ET129" s="83"/>
      <c r="EU129" s="83"/>
      <c r="EV129" s="83"/>
      <c r="EW129" s="83"/>
      <c r="EX129" s="83"/>
      <c r="EY129" s="83"/>
      <c r="EZ129" s="83"/>
      <c r="FA129" s="83"/>
      <c r="FB129" s="83"/>
      <c r="FC129" s="83"/>
      <c r="FD129" s="83"/>
      <c r="FE129" s="83"/>
      <c r="FF129" s="83"/>
      <c r="FG129" s="83"/>
      <c r="FH129" s="83"/>
      <c r="FI129" s="83"/>
      <c r="FJ129" s="83"/>
      <c r="FK129" s="83"/>
      <c r="FL129" s="83"/>
      <c r="FM129" s="83"/>
      <c r="FN129" s="83"/>
      <c r="FO129" s="83"/>
      <c r="FP129" s="83"/>
      <c r="FQ129" s="83"/>
      <c r="FR129" s="83"/>
      <c r="FS129" s="83"/>
      <c r="FT129" s="83"/>
      <c r="FU129" s="83"/>
      <c r="FV129" s="83"/>
      <c r="FW129" s="83"/>
      <c r="FX129" s="83"/>
      <c r="FY129" s="83"/>
      <c r="FZ129" s="83"/>
      <c r="GA129" s="83"/>
      <c r="GB129" s="83"/>
      <c r="GC129" s="83"/>
      <c r="GD129" s="83"/>
      <c r="GE129" s="83"/>
      <c r="GF129" s="83"/>
      <c r="GG129" s="83"/>
      <c r="GH129" s="83"/>
      <c r="GI129" s="83"/>
      <c r="GJ129" s="83"/>
      <c r="GK129" s="83"/>
      <c r="GL129" s="83"/>
      <c r="GM129" s="83"/>
      <c r="GN129" s="83"/>
      <c r="GO129" s="83"/>
      <c r="GP129" s="83"/>
      <c r="GQ129" s="83"/>
      <c r="GR129" s="83"/>
      <c r="GS129" s="83"/>
      <c r="GT129" s="83"/>
      <c r="GU129" s="83"/>
      <c r="GV129" s="83"/>
      <c r="GW129" s="83"/>
      <c r="GX129" s="83"/>
      <c r="GY129" s="83"/>
      <c r="GZ129" s="83"/>
      <c r="HA129" s="83"/>
      <c r="HB129" s="83"/>
      <c r="HC129" s="83"/>
      <c r="HD129" s="83"/>
      <c r="HE129" s="83"/>
      <c r="HF129" s="83"/>
      <c r="HG129" s="83"/>
      <c r="HH129" s="83"/>
      <c r="HI129" s="83"/>
      <c r="HJ129" s="83"/>
      <c r="HK129" s="83"/>
      <c r="HL129" s="83"/>
      <c r="HM129" s="83"/>
      <c r="HN129" s="83"/>
      <c r="HO129" s="83"/>
      <c r="HP129" s="83"/>
      <c r="HQ129" s="83"/>
      <c r="HR129" s="83"/>
      <c r="HS129" s="83"/>
      <c r="HT129" s="83"/>
      <c r="HU129" s="83"/>
      <c r="HV129" s="83"/>
      <c r="HW129" s="83"/>
      <c r="HX129" s="83"/>
      <c r="HY129" s="83"/>
      <c r="HZ129" s="83"/>
      <c r="IA129" s="83"/>
      <c r="IB129" s="83"/>
      <c r="IC129" s="83"/>
      <c r="ID129" s="83"/>
      <c r="IE129" s="83"/>
      <c r="IF129" s="83"/>
      <c r="IG129" s="83"/>
      <c r="IH129" s="83"/>
      <c r="II129" s="83"/>
      <c r="IJ129" s="83"/>
      <c r="IK129" s="83"/>
      <c r="IL129" s="83"/>
      <c r="IM129" s="83"/>
      <c r="IN129" s="83"/>
      <c r="IO129" s="83"/>
      <c r="IP129" s="83"/>
      <c r="IQ129" s="83"/>
      <c r="IR129" s="83"/>
      <c r="IS129" s="83"/>
      <c r="IT129" s="83"/>
      <c r="IU129" s="83"/>
      <c r="IV129" s="83"/>
      <c r="IW129" s="83"/>
      <c r="IX129" s="83"/>
      <c r="IY129" s="83"/>
      <c r="IZ129" s="83"/>
      <c r="JA129" s="83"/>
      <c r="JB129" s="83"/>
      <c r="JC129" s="83"/>
      <c r="JD129" s="83"/>
      <c r="JE129" s="83"/>
      <c r="JF129" s="83"/>
      <c r="JG129" s="83"/>
      <c r="JH129" s="83"/>
      <c r="JI129" s="83"/>
      <c r="JJ129" s="83"/>
      <c r="JK129" s="83"/>
      <c r="JL129" s="83"/>
      <c r="JM129" s="83"/>
      <c r="JN129" s="83"/>
      <c r="JO129" s="83"/>
      <c r="JP129" s="83"/>
      <c r="JQ129" s="83"/>
      <c r="JR129" s="83"/>
      <c r="JS129" s="83"/>
      <c r="JT129" s="83"/>
      <c r="JU129" s="83"/>
      <c r="JV129" s="83"/>
      <c r="JW129" s="83"/>
      <c r="JX129" s="83"/>
      <c r="JY129" s="83"/>
      <c r="JZ129" s="83"/>
      <c r="KA129" s="83"/>
      <c r="KB129" s="83"/>
      <c r="KC129" s="83"/>
      <c r="KD129" s="83"/>
      <c r="KE129" s="83"/>
      <c r="KF129" s="83"/>
      <c r="KG129" s="83"/>
      <c r="KH129" s="83"/>
      <c r="KI129" s="83"/>
      <c r="KJ129" s="83"/>
      <c r="KK129" s="83"/>
      <c r="KL129" s="83"/>
      <c r="KM129" s="83"/>
      <c r="KN129" s="83"/>
      <c r="KO129" s="83"/>
      <c r="KP129" s="83"/>
      <c r="KQ129" s="83"/>
      <c r="KR129" s="83"/>
      <c r="KS129" s="83"/>
      <c r="KT129" s="83"/>
      <c r="KU129" s="83"/>
      <c r="KV129" s="83"/>
      <c r="KW129" s="83"/>
      <c r="KX129" s="83"/>
      <c r="KY129" s="83"/>
      <c r="KZ129" s="83"/>
      <c r="LA129" s="83"/>
      <c r="LB129" s="83"/>
      <c r="LC129" s="83"/>
      <c r="LD129" s="83"/>
      <c r="LE129" s="83"/>
      <c r="LF129" s="83"/>
      <c r="LG129" s="83"/>
      <c r="LH129" s="83"/>
      <c r="LI129" s="83"/>
      <c r="LJ129" s="83"/>
      <c r="LK129" s="83"/>
      <c r="LL129" s="83"/>
      <c r="LM129" s="83"/>
      <c r="LN129" s="83"/>
      <c r="LO129" s="83"/>
      <c r="LP129" s="83"/>
      <c r="LQ129" s="83"/>
      <c r="LR129" s="83"/>
      <c r="LS129" s="83"/>
      <c r="LT129" s="83"/>
      <c r="LU129" s="83"/>
      <c r="LV129" s="83"/>
      <c r="LW129" s="83"/>
      <c r="LX129" s="83"/>
      <c r="LY129" s="83"/>
      <c r="LZ129" s="83"/>
      <c r="MA129" s="83"/>
      <c r="MB129" s="83"/>
      <c r="MC129" s="83"/>
      <c r="MD129" s="83"/>
      <c r="ME129" s="83"/>
      <c r="MF129" s="83"/>
      <c r="MG129" s="83"/>
      <c r="MH129" s="83"/>
      <c r="MI129" s="83"/>
      <c r="MJ129" s="83"/>
      <c r="MK129" s="83"/>
      <c r="ML129" s="83"/>
      <c r="MM129" s="83"/>
      <c r="MN129" s="83"/>
      <c r="MO129" s="83"/>
      <c r="MP129" s="83"/>
      <c r="MQ129" s="83"/>
      <c r="MR129" s="83"/>
      <c r="MS129" s="83"/>
      <c r="MT129" s="83"/>
      <c r="MU129" s="83"/>
      <c r="MV129" s="83"/>
      <c r="MW129" s="83"/>
      <c r="MX129" s="83"/>
      <c r="MY129" s="83"/>
      <c r="MZ129" s="83"/>
      <c r="NA129" s="83"/>
      <c r="NB129" s="83"/>
      <c r="NC129" s="83"/>
      <c r="ND129" s="83"/>
      <c r="NE129" s="83"/>
      <c r="NF129" s="83"/>
      <c r="NG129" s="83"/>
      <c r="NH129" s="83"/>
      <c r="NI129" s="83"/>
      <c r="NJ129" s="83"/>
      <c r="NK129" s="83"/>
      <c r="NL129" s="83"/>
      <c r="NM129" s="83"/>
      <c r="NN129" s="83"/>
      <c r="NO129" s="83"/>
      <c r="NP129" s="83"/>
      <c r="NQ129" s="83"/>
      <c r="NR129" s="83"/>
      <c r="NS129" s="83"/>
      <c r="NT129" s="83"/>
      <c r="NU129" s="83"/>
      <c r="NV129" s="83"/>
      <c r="NW129" s="83"/>
      <c r="NX129" s="83"/>
      <c r="NY129" s="83"/>
      <c r="NZ129" s="83"/>
      <c r="OA129" s="83"/>
      <c r="OB129" s="83"/>
      <c r="OC129" s="83"/>
      <c r="OD129" s="83"/>
      <c r="OE129" s="83"/>
      <c r="OF129" s="83"/>
      <c r="OG129" s="83"/>
      <c r="OH129" s="83"/>
      <c r="OI129" s="83"/>
      <c r="OJ129" s="83"/>
      <c r="OK129" s="83"/>
      <c r="OL129" s="83"/>
      <c r="OM129" s="83"/>
      <c r="ON129" s="83"/>
      <c r="OO129" s="83"/>
      <c r="OP129" s="83"/>
      <c r="OQ129" s="83"/>
      <c r="OR129" s="83"/>
      <c r="OS129" s="83"/>
      <c r="OT129" s="83"/>
      <c r="OU129" s="83"/>
      <c r="OV129" s="83"/>
      <c r="OW129" s="83"/>
      <c r="OX129" s="83"/>
      <c r="OY129" s="83"/>
      <c r="OZ129" s="83"/>
      <c r="PA129" s="83"/>
      <c r="PB129" s="83"/>
      <c r="PC129" s="83"/>
      <c r="PD129" s="83"/>
      <c r="PE129" s="83"/>
      <c r="PF129" s="83"/>
      <c r="PG129" s="83"/>
      <c r="PH129" s="83"/>
      <c r="PI129" s="83"/>
      <c r="PJ129" s="83"/>
      <c r="PK129" s="83"/>
      <c r="PL129" s="83"/>
      <c r="PM129" s="83"/>
      <c r="PN129" s="83"/>
      <c r="PO129" s="83"/>
      <c r="PP129" s="83"/>
      <c r="PQ129" s="83"/>
      <c r="PR129" s="83"/>
      <c r="PS129" s="83"/>
      <c r="PT129" s="83"/>
      <c r="PU129" s="83"/>
      <c r="PV129" s="83"/>
      <c r="PW129" s="83"/>
      <c r="PX129" s="83"/>
      <c r="PY129" s="83"/>
      <c r="PZ129" s="83"/>
      <c r="QA129" s="83"/>
      <c r="QB129" s="83"/>
      <c r="QC129" s="83"/>
      <c r="QD129" s="83"/>
      <c r="QE129" s="83"/>
      <c r="QF129" s="83"/>
      <c r="QG129" s="83"/>
      <c r="QH129" s="83"/>
      <c r="QI129" s="83"/>
      <c r="QJ129" s="83"/>
      <c r="QK129" s="83"/>
      <c r="QL129" s="83"/>
      <c r="QM129" s="83"/>
      <c r="QN129" s="83"/>
      <c r="QO129" s="83"/>
      <c r="QP129" s="83"/>
      <c r="QQ129" s="83"/>
      <c r="QR129" s="83"/>
      <c r="QS129" s="83"/>
      <c r="QT129" s="83"/>
      <c r="QU129" s="83"/>
      <c r="QV129" s="83"/>
      <c r="QW129" s="83"/>
      <c r="QX129" s="83"/>
      <c r="QY129" s="83"/>
      <c r="QZ129" s="83"/>
      <c r="RA129" s="83"/>
      <c r="RB129" s="83"/>
      <c r="RC129" s="83"/>
      <c r="RD129" s="83"/>
      <c r="RE129" s="83"/>
      <c r="RF129" s="83"/>
      <c r="RG129" s="83"/>
      <c r="RH129" s="83"/>
      <c r="RI129" s="83"/>
      <c r="RJ129" s="83"/>
      <c r="RK129" s="83"/>
      <c r="RL129" s="83"/>
      <c r="RM129" s="83"/>
      <c r="RN129" s="83"/>
      <c r="RO129" s="83"/>
      <c r="RP129" s="83"/>
      <c r="RQ129" s="83"/>
      <c r="RR129" s="83"/>
      <c r="RS129" s="83"/>
      <c r="RT129" s="83"/>
      <c r="RU129" s="83"/>
      <c r="RV129" s="83"/>
      <c r="RW129" s="83"/>
      <c r="RX129" s="83"/>
      <c r="RY129" s="83"/>
      <c r="RZ129" s="83"/>
      <c r="SA129" s="83"/>
      <c r="SB129" s="83"/>
      <c r="SC129" s="83"/>
      <c r="SD129" s="83"/>
      <c r="SE129" s="83"/>
      <c r="SF129" s="83"/>
      <c r="SG129" s="83"/>
      <c r="SH129" s="83"/>
      <c r="SI129" s="83"/>
      <c r="SJ129" s="83"/>
      <c r="SK129" s="83"/>
      <c r="SL129" s="83"/>
      <c r="SM129" s="83"/>
      <c r="SN129" s="83"/>
      <c r="SO129" s="83"/>
      <c r="SP129" s="83"/>
      <c r="SQ129" s="83"/>
      <c r="SR129" s="83"/>
      <c r="SS129" s="83"/>
      <c r="ST129" s="83"/>
    </row>
    <row r="130" spans="1:514" s="376" customFormat="1" ht="47.4" customHeight="1" x14ac:dyDescent="0.25">
      <c r="A130" s="373"/>
      <c r="B130" s="377" t="s">
        <v>531</v>
      </c>
      <c r="C130" s="902"/>
      <c r="D130" s="373" t="s">
        <v>130</v>
      </c>
      <c r="E130" s="374">
        <v>0</v>
      </c>
      <c r="F130" s="374">
        <v>8</v>
      </c>
      <c r="G130" s="639">
        <v>9</v>
      </c>
      <c r="H130" s="374">
        <v>2</v>
      </c>
      <c r="I130" s="374">
        <v>2</v>
      </c>
      <c r="J130" s="375">
        <v>14526.21</v>
      </c>
      <c r="K130" s="375">
        <v>0</v>
      </c>
      <c r="L130" s="375">
        <v>0</v>
      </c>
      <c r="M130" s="375">
        <f t="shared" si="137"/>
        <v>14526.21</v>
      </c>
      <c r="N130" s="375">
        <f t="shared" si="140"/>
        <v>130735.89</v>
      </c>
      <c r="O130" s="375">
        <f t="shared" si="138"/>
        <v>0</v>
      </c>
      <c r="P130" s="375"/>
      <c r="Q130" s="375">
        <f t="shared" si="100"/>
        <v>0</v>
      </c>
      <c r="R130" s="375"/>
      <c r="S130" s="375"/>
      <c r="T130" s="375">
        <f t="shared" si="139"/>
        <v>130735.89</v>
      </c>
      <c r="U130" s="375">
        <f t="shared" si="141"/>
        <v>29052.42</v>
      </c>
      <c r="V130" s="375">
        <f t="shared" si="142"/>
        <v>29052.42</v>
      </c>
      <c r="AD130" s="83"/>
      <c r="AE130" s="83"/>
      <c r="AF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  <c r="BI130" s="83"/>
      <c r="BJ130" s="83"/>
      <c r="BK130" s="83"/>
      <c r="BL130" s="83"/>
      <c r="BM130" s="83"/>
      <c r="BN130" s="83"/>
      <c r="BO130" s="83"/>
      <c r="BP130" s="83"/>
      <c r="BQ130" s="83"/>
      <c r="BR130" s="83"/>
      <c r="BS130" s="83"/>
      <c r="BT130" s="83"/>
      <c r="BU130" s="83"/>
      <c r="BV130" s="83"/>
      <c r="BW130" s="83"/>
      <c r="BX130" s="83"/>
      <c r="BY130" s="83"/>
      <c r="BZ130" s="83"/>
      <c r="CA130" s="83"/>
      <c r="CB130" s="83"/>
      <c r="CC130" s="83"/>
      <c r="CD130" s="83"/>
      <c r="CE130" s="83"/>
      <c r="CF130" s="83"/>
      <c r="CG130" s="83"/>
      <c r="CH130" s="83"/>
      <c r="CI130" s="83"/>
      <c r="CJ130" s="83"/>
      <c r="CK130" s="83"/>
      <c r="CL130" s="83"/>
      <c r="CM130" s="83"/>
      <c r="CN130" s="83"/>
      <c r="CO130" s="83"/>
      <c r="CP130" s="83"/>
      <c r="CQ130" s="83"/>
      <c r="CR130" s="83"/>
      <c r="CS130" s="83"/>
      <c r="CT130" s="83"/>
      <c r="CU130" s="83"/>
      <c r="CV130" s="83"/>
      <c r="CW130" s="83"/>
      <c r="CX130" s="83"/>
      <c r="CY130" s="83"/>
      <c r="CZ130" s="83"/>
      <c r="DA130" s="83"/>
      <c r="DB130" s="83"/>
      <c r="DC130" s="83"/>
      <c r="DD130" s="83"/>
      <c r="DE130" s="83"/>
      <c r="DF130" s="83"/>
      <c r="DG130" s="83"/>
      <c r="DH130" s="83"/>
      <c r="DI130" s="83"/>
      <c r="DJ130" s="83"/>
      <c r="DK130" s="83"/>
      <c r="DL130" s="83"/>
      <c r="DM130" s="83"/>
      <c r="DN130" s="83"/>
      <c r="DO130" s="83"/>
      <c r="DP130" s="83"/>
      <c r="DQ130" s="83"/>
      <c r="DR130" s="83"/>
      <c r="DS130" s="83"/>
      <c r="DT130" s="83"/>
      <c r="DU130" s="83"/>
      <c r="DV130" s="83"/>
      <c r="DW130" s="83"/>
      <c r="DX130" s="83"/>
      <c r="DY130" s="83"/>
      <c r="DZ130" s="83"/>
      <c r="EA130" s="83"/>
      <c r="EB130" s="83"/>
      <c r="EC130" s="83"/>
      <c r="ED130" s="83"/>
      <c r="EE130" s="83"/>
      <c r="EF130" s="83"/>
      <c r="EG130" s="83"/>
      <c r="EH130" s="83"/>
      <c r="EI130" s="83"/>
      <c r="EJ130" s="83"/>
      <c r="EK130" s="83"/>
      <c r="EL130" s="83"/>
      <c r="EM130" s="83"/>
      <c r="EN130" s="83"/>
      <c r="EO130" s="83"/>
      <c r="EP130" s="83"/>
      <c r="EQ130" s="83"/>
      <c r="ER130" s="83"/>
      <c r="ES130" s="83"/>
      <c r="ET130" s="83"/>
      <c r="EU130" s="83"/>
      <c r="EV130" s="83"/>
      <c r="EW130" s="83"/>
      <c r="EX130" s="83"/>
      <c r="EY130" s="83"/>
      <c r="EZ130" s="83"/>
      <c r="FA130" s="83"/>
      <c r="FB130" s="83"/>
      <c r="FC130" s="83"/>
      <c r="FD130" s="83"/>
      <c r="FE130" s="83"/>
      <c r="FF130" s="83"/>
      <c r="FG130" s="83"/>
      <c r="FH130" s="83"/>
      <c r="FI130" s="83"/>
      <c r="FJ130" s="83"/>
      <c r="FK130" s="83"/>
      <c r="FL130" s="83"/>
      <c r="FM130" s="83"/>
      <c r="FN130" s="83"/>
      <c r="FO130" s="83"/>
      <c r="FP130" s="83"/>
      <c r="FQ130" s="83"/>
      <c r="FR130" s="83"/>
      <c r="FS130" s="83"/>
      <c r="FT130" s="83"/>
      <c r="FU130" s="83"/>
      <c r="FV130" s="83"/>
      <c r="FW130" s="83"/>
      <c r="FX130" s="83"/>
      <c r="FY130" s="83"/>
      <c r="FZ130" s="83"/>
      <c r="GA130" s="83"/>
      <c r="GB130" s="83"/>
      <c r="GC130" s="83"/>
      <c r="GD130" s="83"/>
      <c r="GE130" s="83"/>
      <c r="GF130" s="83"/>
      <c r="GG130" s="83"/>
      <c r="GH130" s="83"/>
      <c r="GI130" s="83"/>
      <c r="GJ130" s="83"/>
      <c r="GK130" s="83"/>
      <c r="GL130" s="83"/>
      <c r="GM130" s="83"/>
      <c r="GN130" s="83"/>
      <c r="GO130" s="83"/>
      <c r="GP130" s="83"/>
      <c r="GQ130" s="83"/>
      <c r="GR130" s="83"/>
      <c r="GS130" s="83"/>
      <c r="GT130" s="83"/>
      <c r="GU130" s="83"/>
      <c r="GV130" s="83"/>
      <c r="GW130" s="83"/>
      <c r="GX130" s="83"/>
      <c r="GY130" s="83"/>
      <c r="GZ130" s="83"/>
      <c r="HA130" s="83"/>
      <c r="HB130" s="83"/>
      <c r="HC130" s="83"/>
      <c r="HD130" s="83"/>
      <c r="HE130" s="83"/>
      <c r="HF130" s="83"/>
      <c r="HG130" s="83"/>
      <c r="HH130" s="83"/>
      <c r="HI130" s="83"/>
      <c r="HJ130" s="83"/>
      <c r="HK130" s="83"/>
      <c r="HL130" s="83"/>
      <c r="HM130" s="83"/>
      <c r="HN130" s="83"/>
      <c r="HO130" s="83"/>
      <c r="HP130" s="83"/>
      <c r="HQ130" s="83"/>
      <c r="HR130" s="83"/>
      <c r="HS130" s="83"/>
      <c r="HT130" s="83"/>
      <c r="HU130" s="83"/>
      <c r="HV130" s="83"/>
      <c r="HW130" s="83"/>
      <c r="HX130" s="83"/>
      <c r="HY130" s="83"/>
      <c r="HZ130" s="83"/>
      <c r="IA130" s="83"/>
      <c r="IB130" s="83"/>
      <c r="IC130" s="83"/>
      <c r="ID130" s="83"/>
      <c r="IE130" s="83"/>
      <c r="IF130" s="83"/>
      <c r="IG130" s="83"/>
      <c r="IH130" s="83"/>
      <c r="II130" s="83"/>
      <c r="IJ130" s="83"/>
      <c r="IK130" s="83"/>
      <c r="IL130" s="83"/>
      <c r="IM130" s="83"/>
      <c r="IN130" s="83"/>
      <c r="IO130" s="83"/>
      <c r="IP130" s="83"/>
      <c r="IQ130" s="83"/>
      <c r="IR130" s="83"/>
      <c r="IS130" s="83"/>
      <c r="IT130" s="83"/>
      <c r="IU130" s="83"/>
      <c r="IV130" s="83"/>
      <c r="IW130" s="83"/>
      <c r="IX130" s="83"/>
      <c r="IY130" s="83"/>
      <c r="IZ130" s="83"/>
      <c r="JA130" s="83"/>
      <c r="JB130" s="83"/>
      <c r="JC130" s="83"/>
      <c r="JD130" s="83"/>
      <c r="JE130" s="83"/>
      <c r="JF130" s="83"/>
      <c r="JG130" s="83"/>
      <c r="JH130" s="83"/>
      <c r="JI130" s="83"/>
      <c r="JJ130" s="83"/>
      <c r="JK130" s="83"/>
      <c r="JL130" s="83"/>
      <c r="JM130" s="83"/>
      <c r="JN130" s="83"/>
      <c r="JO130" s="83"/>
      <c r="JP130" s="83"/>
      <c r="JQ130" s="83"/>
      <c r="JR130" s="83"/>
      <c r="JS130" s="83"/>
      <c r="JT130" s="83"/>
      <c r="JU130" s="83"/>
      <c r="JV130" s="83"/>
      <c r="JW130" s="83"/>
      <c r="JX130" s="83"/>
      <c r="JY130" s="83"/>
      <c r="JZ130" s="83"/>
      <c r="KA130" s="83"/>
      <c r="KB130" s="83"/>
      <c r="KC130" s="83"/>
      <c r="KD130" s="83"/>
      <c r="KE130" s="83"/>
      <c r="KF130" s="83"/>
      <c r="KG130" s="83"/>
      <c r="KH130" s="83"/>
      <c r="KI130" s="83"/>
      <c r="KJ130" s="83"/>
      <c r="KK130" s="83"/>
      <c r="KL130" s="83"/>
      <c r="KM130" s="83"/>
      <c r="KN130" s="83"/>
      <c r="KO130" s="83"/>
      <c r="KP130" s="83"/>
      <c r="KQ130" s="83"/>
      <c r="KR130" s="83"/>
      <c r="KS130" s="83"/>
      <c r="KT130" s="83"/>
      <c r="KU130" s="83"/>
      <c r="KV130" s="83"/>
      <c r="KW130" s="83"/>
      <c r="KX130" s="83"/>
      <c r="KY130" s="83"/>
      <c r="KZ130" s="83"/>
      <c r="LA130" s="83"/>
      <c r="LB130" s="83"/>
      <c r="LC130" s="83"/>
      <c r="LD130" s="83"/>
      <c r="LE130" s="83"/>
      <c r="LF130" s="83"/>
      <c r="LG130" s="83"/>
      <c r="LH130" s="83"/>
      <c r="LI130" s="83"/>
      <c r="LJ130" s="83"/>
      <c r="LK130" s="83"/>
      <c r="LL130" s="83"/>
      <c r="LM130" s="83"/>
      <c r="LN130" s="83"/>
      <c r="LO130" s="83"/>
      <c r="LP130" s="83"/>
      <c r="LQ130" s="83"/>
      <c r="LR130" s="83"/>
      <c r="LS130" s="83"/>
      <c r="LT130" s="83"/>
      <c r="LU130" s="83"/>
      <c r="LV130" s="83"/>
      <c r="LW130" s="83"/>
      <c r="LX130" s="83"/>
      <c r="LY130" s="83"/>
      <c r="LZ130" s="83"/>
      <c r="MA130" s="83"/>
      <c r="MB130" s="83"/>
      <c r="MC130" s="83"/>
      <c r="MD130" s="83"/>
      <c r="ME130" s="83"/>
      <c r="MF130" s="83"/>
      <c r="MG130" s="83"/>
      <c r="MH130" s="83"/>
      <c r="MI130" s="83"/>
      <c r="MJ130" s="83"/>
      <c r="MK130" s="83"/>
      <c r="ML130" s="83"/>
      <c r="MM130" s="83"/>
      <c r="MN130" s="83"/>
      <c r="MO130" s="83"/>
      <c r="MP130" s="83"/>
      <c r="MQ130" s="83"/>
      <c r="MR130" s="83"/>
      <c r="MS130" s="83"/>
      <c r="MT130" s="83"/>
      <c r="MU130" s="83"/>
      <c r="MV130" s="83"/>
      <c r="MW130" s="83"/>
      <c r="MX130" s="83"/>
      <c r="MY130" s="83"/>
      <c r="MZ130" s="83"/>
      <c r="NA130" s="83"/>
      <c r="NB130" s="83"/>
      <c r="NC130" s="83"/>
      <c r="ND130" s="83"/>
      <c r="NE130" s="83"/>
      <c r="NF130" s="83"/>
      <c r="NG130" s="83"/>
      <c r="NH130" s="83"/>
      <c r="NI130" s="83"/>
      <c r="NJ130" s="83"/>
      <c r="NK130" s="83"/>
      <c r="NL130" s="83"/>
      <c r="NM130" s="83"/>
      <c r="NN130" s="83"/>
      <c r="NO130" s="83"/>
      <c r="NP130" s="83"/>
      <c r="NQ130" s="83"/>
      <c r="NR130" s="83"/>
      <c r="NS130" s="83"/>
      <c r="NT130" s="83"/>
      <c r="NU130" s="83"/>
      <c r="NV130" s="83"/>
      <c r="NW130" s="83"/>
      <c r="NX130" s="83"/>
      <c r="NY130" s="83"/>
      <c r="NZ130" s="83"/>
      <c r="OA130" s="83"/>
      <c r="OB130" s="83"/>
      <c r="OC130" s="83"/>
      <c r="OD130" s="83"/>
      <c r="OE130" s="83"/>
      <c r="OF130" s="83"/>
      <c r="OG130" s="83"/>
      <c r="OH130" s="83"/>
      <c r="OI130" s="83"/>
      <c r="OJ130" s="83"/>
      <c r="OK130" s="83"/>
      <c r="OL130" s="83"/>
      <c r="OM130" s="83"/>
      <c r="ON130" s="83"/>
      <c r="OO130" s="83"/>
      <c r="OP130" s="83"/>
      <c r="OQ130" s="83"/>
      <c r="OR130" s="83"/>
      <c r="OS130" s="83"/>
      <c r="OT130" s="83"/>
      <c r="OU130" s="83"/>
      <c r="OV130" s="83"/>
      <c r="OW130" s="83"/>
      <c r="OX130" s="83"/>
      <c r="OY130" s="83"/>
      <c r="OZ130" s="83"/>
      <c r="PA130" s="83"/>
      <c r="PB130" s="83"/>
      <c r="PC130" s="83"/>
      <c r="PD130" s="83"/>
      <c r="PE130" s="83"/>
      <c r="PF130" s="83"/>
      <c r="PG130" s="83"/>
      <c r="PH130" s="83"/>
      <c r="PI130" s="83"/>
      <c r="PJ130" s="83"/>
      <c r="PK130" s="83"/>
      <c r="PL130" s="83"/>
      <c r="PM130" s="83"/>
      <c r="PN130" s="83"/>
      <c r="PO130" s="83"/>
      <c r="PP130" s="83"/>
      <c r="PQ130" s="83"/>
      <c r="PR130" s="83"/>
      <c r="PS130" s="83"/>
      <c r="PT130" s="83"/>
      <c r="PU130" s="83"/>
      <c r="PV130" s="83"/>
      <c r="PW130" s="83"/>
      <c r="PX130" s="83"/>
      <c r="PY130" s="83"/>
      <c r="PZ130" s="83"/>
      <c r="QA130" s="83"/>
      <c r="QB130" s="83"/>
      <c r="QC130" s="83"/>
      <c r="QD130" s="83"/>
      <c r="QE130" s="83"/>
      <c r="QF130" s="83"/>
      <c r="QG130" s="83"/>
      <c r="QH130" s="83"/>
      <c r="QI130" s="83"/>
      <c r="QJ130" s="83"/>
      <c r="QK130" s="83"/>
      <c r="QL130" s="83"/>
      <c r="QM130" s="83"/>
      <c r="QN130" s="83"/>
      <c r="QO130" s="83"/>
      <c r="QP130" s="83"/>
      <c r="QQ130" s="83"/>
      <c r="QR130" s="83"/>
      <c r="QS130" s="83"/>
      <c r="QT130" s="83"/>
      <c r="QU130" s="83"/>
      <c r="QV130" s="83"/>
      <c r="QW130" s="83"/>
      <c r="QX130" s="83"/>
      <c r="QY130" s="83"/>
      <c r="QZ130" s="83"/>
      <c r="RA130" s="83"/>
      <c r="RB130" s="83"/>
      <c r="RC130" s="83"/>
      <c r="RD130" s="83"/>
      <c r="RE130" s="83"/>
      <c r="RF130" s="83"/>
      <c r="RG130" s="83"/>
      <c r="RH130" s="83"/>
      <c r="RI130" s="83"/>
      <c r="RJ130" s="83"/>
      <c r="RK130" s="83"/>
      <c r="RL130" s="83"/>
      <c r="RM130" s="83"/>
      <c r="RN130" s="83"/>
      <c r="RO130" s="83"/>
      <c r="RP130" s="83"/>
      <c r="RQ130" s="83"/>
      <c r="RR130" s="83"/>
      <c r="RS130" s="83"/>
      <c r="RT130" s="83"/>
      <c r="RU130" s="83"/>
      <c r="RV130" s="83"/>
      <c r="RW130" s="83"/>
      <c r="RX130" s="83"/>
      <c r="RY130" s="83"/>
      <c r="RZ130" s="83"/>
      <c r="SA130" s="83"/>
      <c r="SB130" s="83"/>
      <c r="SC130" s="83"/>
      <c r="SD130" s="83"/>
      <c r="SE130" s="83"/>
      <c r="SF130" s="83"/>
      <c r="SG130" s="83"/>
      <c r="SH130" s="83"/>
      <c r="SI130" s="83"/>
      <c r="SJ130" s="83"/>
      <c r="SK130" s="83"/>
      <c r="SL130" s="83"/>
      <c r="SM130" s="83"/>
      <c r="SN130" s="83"/>
      <c r="SO130" s="83"/>
      <c r="SP130" s="83"/>
      <c r="SQ130" s="83"/>
      <c r="SR130" s="83"/>
      <c r="SS130" s="83"/>
      <c r="ST130" s="83"/>
    </row>
    <row r="131" spans="1:514" s="376" customFormat="1" ht="28.95" customHeight="1" x14ac:dyDescent="0.25">
      <c r="A131" s="373"/>
      <c r="B131" s="377" t="s">
        <v>585</v>
      </c>
      <c r="C131" s="900"/>
      <c r="D131" s="373" t="s">
        <v>130</v>
      </c>
      <c r="E131" s="374">
        <v>6</v>
      </c>
      <c r="F131" s="374">
        <v>0</v>
      </c>
      <c r="G131" s="639">
        <v>0</v>
      </c>
      <c r="H131" s="374">
        <v>3</v>
      </c>
      <c r="I131" s="374">
        <v>3</v>
      </c>
      <c r="J131" s="375">
        <v>7263.1</v>
      </c>
      <c r="K131" s="375">
        <v>0</v>
      </c>
      <c r="L131" s="375">
        <v>0</v>
      </c>
      <c r="M131" s="375">
        <f t="shared" si="137"/>
        <v>7263.1</v>
      </c>
      <c r="N131" s="375">
        <f t="shared" si="140"/>
        <v>0</v>
      </c>
      <c r="O131" s="375">
        <f t="shared" si="138"/>
        <v>0</v>
      </c>
      <c r="P131" s="375"/>
      <c r="Q131" s="375">
        <f t="shared" si="100"/>
        <v>0</v>
      </c>
      <c r="R131" s="375"/>
      <c r="S131" s="375"/>
      <c r="T131" s="375">
        <f t="shared" si="104"/>
        <v>0</v>
      </c>
      <c r="U131" s="375">
        <f t="shared" si="141"/>
        <v>21789.3</v>
      </c>
      <c r="V131" s="375">
        <f t="shared" si="142"/>
        <v>21789.3</v>
      </c>
      <c r="AD131" s="83"/>
      <c r="AE131" s="83"/>
      <c r="AF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  <c r="BH131" s="83"/>
      <c r="BI131" s="83"/>
      <c r="BJ131" s="83"/>
      <c r="BK131" s="83"/>
      <c r="BL131" s="83"/>
      <c r="BM131" s="83"/>
      <c r="BN131" s="83"/>
      <c r="BO131" s="83"/>
      <c r="BP131" s="83"/>
      <c r="BQ131" s="83"/>
      <c r="BR131" s="83"/>
      <c r="BS131" s="83"/>
      <c r="BT131" s="83"/>
      <c r="BU131" s="83"/>
      <c r="BV131" s="83"/>
      <c r="BW131" s="83"/>
      <c r="BX131" s="83"/>
      <c r="BY131" s="83"/>
      <c r="BZ131" s="83"/>
      <c r="CA131" s="83"/>
      <c r="CB131" s="83"/>
      <c r="CC131" s="83"/>
      <c r="CD131" s="83"/>
      <c r="CE131" s="83"/>
      <c r="CF131" s="83"/>
      <c r="CG131" s="83"/>
      <c r="CH131" s="83"/>
      <c r="CI131" s="83"/>
      <c r="CJ131" s="83"/>
      <c r="CK131" s="83"/>
      <c r="CL131" s="83"/>
      <c r="CM131" s="83"/>
      <c r="CN131" s="83"/>
      <c r="CO131" s="83"/>
      <c r="CP131" s="83"/>
      <c r="CQ131" s="83"/>
      <c r="CR131" s="83"/>
      <c r="CS131" s="83"/>
      <c r="CT131" s="83"/>
      <c r="CU131" s="83"/>
      <c r="CV131" s="83"/>
      <c r="CW131" s="83"/>
      <c r="CX131" s="83"/>
      <c r="CY131" s="83"/>
      <c r="CZ131" s="83"/>
      <c r="DA131" s="83"/>
      <c r="DB131" s="83"/>
      <c r="DC131" s="83"/>
      <c r="DD131" s="83"/>
      <c r="DE131" s="83"/>
      <c r="DF131" s="83"/>
      <c r="DG131" s="83"/>
      <c r="DH131" s="83"/>
      <c r="DI131" s="83"/>
      <c r="DJ131" s="83"/>
      <c r="DK131" s="83"/>
      <c r="DL131" s="83"/>
      <c r="DM131" s="83"/>
      <c r="DN131" s="83"/>
      <c r="DO131" s="83"/>
      <c r="DP131" s="83"/>
      <c r="DQ131" s="83"/>
      <c r="DR131" s="83"/>
      <c r="DS131" s="83"/>
      <c r="DT131" s="83"/>
      <c r="DU131" s="83"/>
      <c r="DV131" s="83"/>
      <c r="DW131" s="83"/>
      <c r="DX131" s="83"/>
      <c r="DY131" s="83"/>
      <c r="DZ131" s="83"/>
      <c r="EA131" s="83"/>
      <c r="EB131" s="83"/>
      <c r="EC131" s="83"/>
      <c r="ED131" s="83"/>
      <c r="EE131" s="83"/>
      <c r="EF131" s="83"/>
      <c r="EG131" s="83"/>
      <c r="EH131" s="83"/>
      <c r="EI131" s="83"/>
      <c r="EJ131" s="83"/>
      <c r="EK131" s="83"/>
      <c r="EL131" s="83"/>
      <c r="EM131" s="83"/>
      <c r="EN131" s="83"/>
      <c r="EO131" s="83"/>
      <c r="EP131" s="83"/>
      <c r="EQ131" s="83"/>
      <c r="ER131" s="83"/>
      <c r="ES131" s="83"/>
      <c r="ET131" s="83"/>
      <c r="EU131" s="83"/>
      <c r="EV131" s="83"/>
      <c r="EW131" s="83"/>
      <c r="EX131" s="83"/>
      <c r="EY131" s="83"/>
      <c r="EZ131" s="83"/>
      <c r="FA131" s="83"/>
      <c r="FB131" s="83"/>
      <c r="FC131" s="83"/>
      <c r="FD131" s="83"/>
      <c r="FE131" s="83"/>
      <c r="FF131" s="83"/>
      <c r="FG131" s="83"/>
      <c r="FH131" s="83"/>
      <c r="FI131" s="83"/>
      <c r="FJ131" s="83"/>
      <c r="FK131" s="83"/>
      <c r="FL131" s="83"/>
      <c r="FM131" s="83"/>
      <c r="FN131" s="83"/>
      <c r="FO131" s="83"/>
      <c r="FP131" s="83"/>
      <c r="FQ131" s="83"/>
      <c r="FR131" s="83"/>
      <c r="FS131" s="83"/>
      <c r="FT131" s="83"/>
      <c r="FU131" s="83"/>
      <c r="FV131" s="83"/>
      <c r="FW131" s="83"/>
      <c r="FX131" s="83"/>
      <c r="FY131" s="83"/>
      <c r="FZ131" s="83"/>
      <c r="GA131" s="83"/>
      <c r="GB131" s="83"/>
      <c r="GC131" s="83"/>
      <c r="GD131" s="83"/>
      <c r="GE131" s="83"/>
      <c r="GF131" s="83"/>
      <c r="GG131" s="83"/>
      <c r="GH131" s="83"/>
      <c r="GI131" s="83"/>
      <c r="GJ131" s="83"/>
      <c r="GK131" s="83"/>
      <c r="GL131" s="83"/>
      <c r="GM131" s="83"/>
      <c r="GN131" s="83"/>
      <c r="GO131" s="83"/>
      <c r="GP131" s="83"/>
      <c r="GQ131" s="83"/>
      <c r="GR131" s="83"/>
      <c r="GS131" s="83"/>
      <c r="GT131" s="83"/>
      <c r="GU131" s="83"/>
      <c r="GV131" s="83"/>
      <c r="GW131" s="83"/>
      <c r="GX131" s="83"/>
      <c r="GY131" s="83"/>
      <c r="GZ131" s="83"/>
      <c r="HA131" s="83"/>
      <c r="HB131" s="83"/>
      <c r="HC131" s="83"/>
      <c r="HD131" s="83"/>
      <c r="HE131" s="83"/>
      <c r="HF131" s="83"/>
      <c r="HG131" s="83"/>
      <c r="HH131" s="83"/>
      <c r="HI131" s="83"/>
      <c r="HJ131" s="83"/>
      <c r="HK131" s="83"/>
      <c r="HL131" s="83"/>
      <c r="HM131" s="83"/>
      <c r="HN131" s="83"/>
      <c r="HO131" s="83"/>
      <c r="HP131" s="83"/>
      <c r="HQ131" s="83"/>
      <c r="HR131" s="83"/>
      <c r="HS131" s="83"/>
      <c r="HT131" s="83"/>
      <c r="HU131" s="83"/>
      <c r="HV131" s="83"/>
      <c r="HW131" s="83"/>
      <c r="HX131" s="83"/>
      <c r="HY131" s="83"/>
      <c r="HZ131" s="83"/>
      <c r="IA131" s="83"/>
      <c r="IB131" s="83"/>
      <c r="IC131" s="83"/>
      <c r="ID131" s="83"/>
      <c r="IE131" s="83"/>
      <c r="IF131" s="83"/>
      <c r="IG131" s="83"/>
      <c r="IH131" s="83"/>
      <c r="II131" s="83"/>
      <c r="IJ131" s="83"/>
      <c r="IK131" s="83"/>
      <c r="IL131" s="83"/>
      <c r="IM131" s="83"/>
      <c r="IN131" s="83"/>
      <c r="IO131" s="83"/>
      <c r="IP131" s="83"/>
      <c r="IQ131" s="83"/>
      <c r="IR131" s="83"/>
      <c r="IS131" s="83"/>
      <c r="IT131" s="83"/>
      <c r="IU131" s="83"/>
      <c r="IV131" s="83"/>
      <c r="IW131" s="83"/>
      <c r="IX131" s="83"/>
      <c r="IY131" s="83"/>
      <c r="IZ131" s="83"/>
      <c r="JA131" s="83"/>
      <c r="JB131" s="83"/>
      <c r="JC131" s="83"/>
      <c r="JD131" s="83"/>
      <c r="JE131" s="83"/>
      <c r="JF131" s="83"/>
      <c r="JG131" s="83"/>
      <c r="JH131" s="83"/>
      <c r="JI131" s="83"/>
      <c r="JJ131" s="83"/>
      <c r="JK131" s="83"/>
      <c r="JL131" s="83"/>
      <c r="JM131" s="83"/>
      <c r="JN131" s="83"/>
      <c r="JO131" s="83"/>
      <c r="JP131" s="83"/>
      <c r="JQ131" s="83"/>
      <c r="JR131" s="83"/>
      <c r="JS131" s="83"/>
      <c r="JT131" s="83"/>
      <c r="JU131" s="83"/>
      <c r="JV131" s="83"/>
      <c r="JW131" s="83"/>
      <c r="JX131" s="83"/>
      <c r="JY131" s="83"/>
      <c r="JZ131" s="83"/>
      <c r="KA131" s="83"/>
      <c r="KB131" s="83"/>
      <c r="KC131" s="83"/>
      <c r="KD131" s="83"/>
      <c r="KE131" s="83"/>
      <c r="KF131" s="83"/>
      <c r="KG131" s="83"/>
      <c r="KH131" s="83"/>
      <c r="KI131" s="83"/>
      <c r="KJ131" s="83"/>
      <c r="KK131" s="83"/>
      <c r="KL131" s="83"/>
      <c r="KM131" s="83"/>
      <c r="KN131" s="83"/>
      <c r="KO131" s="83"/>
      <c r="KP131" s="83"/>
      <c r="KQ131" s="83"/>
      <c r="KR131" s="83"/>
      <c r="KS131" s="83"/>
      <c r="KT131" s="83"/>
      <c r="KU131" s="83"/>
      <c r="KV131" s="83"/>
      <c r="KW131" s="83"/>
      <c r="KX131" s="83"/>
      <c r="KY131" s="83"/>
      <c r="KZ131" s="83"/>
      <c r="LA131" s="83"/>
      <c r="LB131" s="83"/>
      <c r="LC131" s="83"/>
      <c r="LD131" s="83"/>
      <c r="LE131" s="83"/>
      <c r="LF131" s="83"/>
      <c r="LG131" s="83"/>
      <c r="LH131" s="83"/>
      <c r="LI131" s="83"/>
      <c r="LJ131" s="83"/>
      <c r="LK131" s="83"/>
      <c r="LL131" s="83"/>
      <c r="LM131" s="83"/>
      <c r="LN131" s="83"/>
      <c r="LO131" s="83"/>
      <c r="LP131" s="83"/>
      <c r="LQ131" s="83"/>
      <c r="LR131" s="83"/>
      <c r="LS131" s="83"/>
      <c r="LT131" s="83"/>
      <c r="LU131" s="83"/>
      <c r="LV131" s="83"/>
      <c r="LW131" s="83"/>
      <c r="LX131" s="83"/>
      <c r="LY131" s="83"/>
      <c r="LZ131" s="83"/>
      <c r="MA131" s="83"/>
      <c r="MB131" s="83"/>
      <c r="MC131" s="83"/>
      <c r="MD131" s="83"/>
      <c r="ME131" s="83"/>
      <c r="MF131" s="83"/>
      <c r="MG131" s="83"/>
      <c r="MH131" s="83"/>
      <c r="MI131" s="83"/>
      <c r="MJ131" s="83"/>
      <c r="MK131" s="83"/>
      <c r="ML131" s="83"/>
      <c r="MM131" s="83"/>
      <c r="MN131" s="83"/>
      <c r="MO131" s="83"/>
      <c r="MP131" s="83"/>
      <c r="MQ131" s="83"/>
      <c r="MR131" s="83"/>
      <c r="MS131" s="83"/>
      <c r="MT131" s="83"/>
      <c r="MU131" s="83"/>
      <c r="MV131" s="83"/>
      <c r="MW131" s="83"/>
      <c r="MX131" s="83"/>
      <c r="MY131" s="83"/>
      <c r="MZ131" s="83"/>
      <c r="NA131" s="83"/>
      <c r="NB131" s="83"/>
      <c r="NC131" s="83"/>
      <c r="ND131" s="83"/>
      <c r="NE131" s="83"/>
      <c r="NF131" s="83"/>
      <c r="NG131" s="83"/>
      <c r="NH131" s="83"/>
      <c r="NI131" s="83"/>
      <c r="NJ131" s="83"/>
      <c r="NK131" s="83"/>
      <c r="NL131" s="83"/>
      <c r="NM131" s="83"/>
      <c r="NN131" s="83"/>
      <c r="NO131" s="83"/>
      <c r="NP131" s="83"/>
      <c r="NQ131" s="83"/>
      <c r="NR131" s="83"/>
      <c r="NS131" s="83"/>
      <c r="NT131" s="83"/>
      <c r="NU131" s="83"/>
      <c r="NV131" s="83"/>
      <c r="NW131" s="83"/>
      <c r="NX131" s="83"/>
      <c r="NY131" s="83"/>
      <c r="NZ131" s="83"/>
      <c r="OA131" s="83"/>
      <c r="OB131" s="83"/>
      <c r="OC131" s="83"/>
      <c r="OD131" s="83"/>
      <c r="OE131" s="83"/>
      <c r="OF131" s="83"/>
      <c r="OG131" s="83"/>
      <c r="OH131" s="83"/>
      <c r="OI131" s="83"/>
      <c r="OJ131" s="83"/>
      <c r="OK131" s="83"/>
      <c r="OL131" s="83"/>
      <c r="OM131" s="83"/>
      <c r="ON131" s="83"/>
      <c r="OO131" s="83"/>
      <c r="OP131" s="83"/>
      <c r="OQ131" s="83"/>
      <c r="OR131" s="83"/>
      <c r="OS131" s="83"/>
      <c r="OT131" s="83"/>
      <c r="OU131" s="83"/>
      <c r="OV131" s="83"/>
      <c r="OW131" s="83"/>
      <c r="OX131" s="83"/>
      <c r="OY131" s="83"/>
      <c r="OZ131" s="83"/>
      <c r="PA131" s="83"/>
      <c r="PB131" s="83"/>
      <c r="PC131" s="83"/>
      <c r="PD131" s="83"/>
      <c r="PE131" s="83"/>
      <c r="PF131" s="83"/>
      <c r="PG131" s="83"/>
      <c r="PH131" s="83"/>
      <c r="PI131" s="83"/>
      <c r="PJ131" s="83"/>
      <c r="PK131" s="83"/>
      <c r="PL131" s="83"/>
      <c r="PM131" s="83"/>
      <c r="PN131" s="83"/>
      <c r="PO131" s="83"/>
      <c r="PP131" s="83"/>
      <c r="PQ131" s="83"/>
      <c r="PR131" s="83"/>
      <c r="PS131" s="83"/>
      <c r="PT131" s="83"/>
      <c r="PU131" s="83"/>
      <c r="PV131" s="83"/>
      <c r="PW131" s="83"/>
      <c r="PX131" s="83"/>
      <c r="PY131" s="83"/>
      <c r="PZ131" s="83"/>
      <c r="QA131" s="83"/>
      <c r="QB131" s="83"/>
      <c r="QC131" s="83"/>
      <c r="QD131" s="83"/>
      <c r="QE131" s="83"/>
      <c r="QF131" s="83"/>
      <c r="QG131" s="83"/>
      <c r="QH131" s="83"/>
      <c r="QI131" s="83"/>
      <c r="QJ131" s="83"/>
      <c r="QK131" s="83"/>
      <c r="QL131" s="83"/>
      <c r="QM131" s="83"/>
      <c r="QN131" s="83"/>
      <c r="QO131" s="83"/>
      <c r="QP131" s="83"/>
      <c r="QQ131" s="83"/>
      <c r="QR131" s="83"/>
      <c r="QS131" s="83"/>
      <c r="QT131" s="83"/>
      <c r="QU131" s="83"/>
      <c r="QV131" s="83"/>
      <c r="QW131" s="83"/>
      <c r="QX131" s="83"/>
      <c r="QY131" s="83"/>
      <c r="QZ131" s="83"/>
      <c r="RA131" s="83"/>
      <c r="RB131" s="83"/>
      <c r="RC131" s="83"/>
      <c r="RD131" s="83"/>
      <c r="RE131" s="83"/>
      <c r="RF131" s="83"/>
      <c r="RG131" s="83"/>
      <c r="RH131" s="83"/>
      <c r="RI131" s="83"/>
      <c r="RJ131" s="83"/>
      <c r="RK131" s="83"/>
      <c r="RL131" s="83"/>
      <c r="RM131" s="83"/>
      <c r="RN131" s="83"/>
      <c r="RO131" s="83"/>
      <c r="RP131" s="83"/>
      <c r="RQ131" s="83"/>
      <c r="RR131" s="83"/>
      <c r="RS131" s="83"/>
      <c r="RT131" s="83"/>
      <c r="RU131" s="83"/>
      <c r="RV131" s="83"/>
      <c r="RW131" s="83"/>
      <c r="RX131" s="83"/>
      <c r="RY131" s="83"/>
      <c r="RZ131" s="83"/>
      <c r="SA131" s="83"/>
      <c r="SB131" s="83"/>
      <c r="SC131" s="83"/>
      <c r="SD131" s="83"/>
      <c r="SE131" s="83"/>
      <c r="SF131" s="83"/>
      <c r="SG131" s="83"/>
      <c r="SH131" s="83"/>
      <c r="SI131" s="83"/>
      <c r="SJ131" s="83"/>
      <c r="SK131" s="83"/>
      <c r="SL131" s="83"/>
      <c r="SM131" s="83"/>
      <c r="SN131" s="83"/>
      <c r="SO131" s="83"/>
      <c r="SP131" s="83"/>
      <c r="SQ131" s="83"/>
      <c r="SR131" s="83"/>
      <c r="SS131" s="83"/>
      <c r="ST131" s="83"/>
    </row>
    <row r="132" spans="1:514" s="376" customFormat="1" ht="28.95" customHeight="1" x14ac:dyDescent="0.25">
      <c r="A132" s="373"/>
      <c r="B132" s="373" t="s">
        <v>336</v>
      </c>
      <c r="C132" s="899" t="s">
        <v>453</v>
      </c>
      <c r="D132" s="373" t="s">
        <v>130</v>
      </c>
      <c r="E132" s="374">
        <v>17</v>
      </c>
      <c r="F132" s="374">
        <v>17</v>
      </c>
      <c r="G132" s="639">
        <v>46</v>
      </c>
      <c r="H132" s="639">
        <v>46</v>
      </c>
      <c r="I132" s="639">
        <v>46</v>
      </c>
      <c r="J132" s="375">
        <v>4842.07</v>
      </c>
      <c r="K132" s="375">
        <v>0</v>
      </c>
      <c r="L132" s="375">
        <v>0</v>
      </c>
      <c r="M132" s="375">
        <f t="shared" si="137"/>
        <v>4842.07</v>
      </c>
      <c r="N132" s="375">
        <f t="shared" si="102"/>
        <v>222735.22</v>
      </c>
      <c r="O132" s="375">
        <f t="shared" si="138"/>
        <v>0</v>
      </c>
      <c r="P132" s="375"/>
      <c r="Q132" s="375">
        <f t="shared" si="100"/>
        <v>0</v>
      </c>
      <c r="R132" s="375"/>
      <c r="S132" s="375"/>
      <c r="T132" s="375">
        <f t="shared" ref="T132" si="143">SUM(N132:Q132)</f>
        <v>222735.22</v>
      </c>
      <c r="U132" s="375">
        <f t="shared" si="141"/>
        <v>222735.22</v>
      </c>
      <c r="V132" s="375">
        <f t="shared" si="142"/>
        <v>222735.22</v>
      </c>
      <c r="AD132" s="83"/>
      <c r="AE132" s="83"/>
      <c r="AF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  <c r="BI132" s="83"/>
      <c r="BJ132" s="83"/>
      <c r="BK132" s="83"/>
      <c r="BL132" s="83"/>
      <c r="BM132" s="83"/>
      <c r="BN132" s="83"/>
      <c r="BO132" s="83"/>
      <c r="BP132" s="83"/>
      <c r="BQ132" s="83"/>
      <c r="BR132" s="83"/>
      <c r="BS132" s="83"/>
      <c r="BT132" s="83"/>
      <c r="BU132" s="83"/>
      <c r="BV132" s="83"/>
      <c r="BW132" s="83"/>
      <c r="BX132" s="83"/>
      <c r="BY132" s="83"/>
      <c r="BZ132" s="83"/>
      <c r="CA132" s="83"/>
      <c r="CB132" s="83"/>
      <c r="CC132" s="83"/>
      <c r="CD132" s="83"/>
      <c r="CE132" s="83"/>
      <c r="CF132" s="83"/>
      <c r="CG132" s="83"/>
      <c r="CH132" s="83"/>
      <c r="CI132" s="83"/>
      <c r="CJ132" s="83"/>
      <c r="CK132" s="83"/>
      <c r="CL132" s="83"/>
      <c r="CM132" s="83"/>
      <c r="CN132" s="83"/>
      <c r="CO132" s="83"/>
      <c r="CP132" s="83"/>
      <c r="CQ132" s="83"/>
      <c r="CR132" s="83"/>
      <c r="CS132" s="83"/>
      <c r="CT132" s="83"/>
      <c r="CU132" s="83"/>
      <c r="CV132" s="83"/>
      <c r="CW132" s="83"/>
      <c r="CX132" s="83"/>
      <c r="CY132" s="83"/>
      <c r="CZ132" s="83"/>
      <c r="DA132" s="83"/>
      <c r="DB132" s="83"/>
      <c r="DC132" s="83"/>
      <c r="DD132" s="83"/>
      <c r="DE132" s="83"/>
      <c r="DF132" s="83"/>
      <c r="DG132" s="83"/>
      <c r="DH132" s="83"/>
      <c r="DI132" s="83"/>
      <c r="DJ132" s="83"/>
      <c r="DK132" s="83"/>
      <c r="DL132" s="83"/>
      <c r="DM132" s="83"/>
      <c r="DN132" s="83"/>
      <c r="DO132" s="83"/>
      <c r="DP132" s="83"/>
      <c r="DQ132" s="83"/>
      <c r="DR132" s="83"/>
      <c r="DS132" s="83"/>
      <c r="DT132" s="83"/>
      <c r="DU132" s="83"/>
      <c r="DV132" s="83"/>
      <c r="DW132" s="83"/>
      <c r="DX132" s="83"/>
      <c r="DY132" s="83"/>
      <c r="DZ132" s="83"/>
      <c r="EA132" s="83"/>
      <c r="EB132" s="83"/>
      <c r="EC132" s="83"/>
      <c r="ED132" s="83"/>
      <c r="EE132" s="83"/>
      <c r="EF132" s="83"/>
      <c r="EG132" s="83"/>
      <c r="EH132" s="83"/>
      <c r="EI132" s="83"/>
      <c r="EJ132" s="83"/>
      <c r="EK132" s="83"/>
      <c r="EL132" s="83"/>
      <c r="EM132" s="83"/>
      <c r="EN132" s="83"/>
      <c r="EO132" s="83"/>
      <c r="EP132" s="83"/>
      <c r="EQ132" s="83"/>
      <c r="ER132" s="83"/>
      <c r="ES132" s="83"/>
      <c r="ET132" s="83"/>
      <c r="EU132" s="83"/>
      <c r="EV132" s="83"/>
      <c r="EW132" s="83"/>
      <c r="EX132" s="83"/>
      <c r="EY132" s="83"/>
      <c r="EZ132" s="83"/>
      <c r="FA132" s="83"/>
      <c r="FB132" s="83"/>
      <c r="FC132" s="83"/>
      <c r="FD132" s="83"/>
      <c r="FE132" s="83"/>
      <c r="FF132" s="83"/>
      <c r="FG132" s="83"/>
      <c r="FH132" s="83"/>
      <c r="FI132" s="83"/>
      <c r="FJ132" s="83"/>
      <c r="FK132" s="83"/>
      <c r="FL132" s="83"/>
      <c r="FM132" s="83"/>
      <c r="FN132" s="83"/>
      <c r="FO132" s="83"/>
      <c r="FP132" s="83"/>
      <c r="FQ132" s="83"/>
      <c r="FR132" s="83"/>
      <c r="FS132" s="83"/>
      <c r="FT132" s="83"/>
      <c r="FU132" s="83"/>
      <c r="FV132" s="83"/>
      <c r="FW132" s="83"/>
      <c r="FX132" s="83"/>
      <c r="FY132" s="83"/>
      <c r="FZ132" s="83"/>
      <c r="GA132" s="83"/>
      <c r="GB132" s="83"/>
      <c r="GC132" s="83"/>
      <c r="GD132" s="83"/>
      <c r="GE132" s="83"/>
      <c r="GF132" s="83"/>
      <c r="GG132" s="83"/>
      <c r="GH132" s="83"/>
      <c r="GI132" s="83"/>
      <c r="GJ132" s="83"/>
      <c r="GK132" s="83"/>
      <c r="GL132" s="83"/>
      <c r="GM132" s="83"/>
      <c r="GN132" s="83"/>
      <c r="GO132" s="83"/>
      <c r="GP132" s="83"/>
      <c r="GQ132" s="83"/>
      <c r="GR132" s="83"/>
      <c r="GS132" s="83"/>
      <c r="GT132" s="83"/>
      <c r="GU132" s="83"/>
      <c r="GV132" s="83"/>
      <c r="GW132" s="83"/>
      <c r="GX132" s="83"/>
      <c r="GY132" s="83"/>
      <c r="GZ132" s="83"/>
      <c r="HA132" s="83"/>
      <c r="HB132" s="83"/>
      <c r="HC132" s="83"/>
      <c r="HD132" s="83"/>
      <c r="HE132" s="83"/>
      <c r="HF132" s="83"/>
      <c r="HG132" s="83"/>
      <c r="HH132" s="83"/>
      <c r="HI132" s="83"/>
      <c r="HJ132" s="83"/>
      <c r="HK132" s="83"/>
      <c r="HL132" s="83"/>
      <c r="HM132" s="83"/>
      <c r="HN132" s="83"/>
      <c r="HO132" s="83"/>
      <c r="HP132" s="83"/>
      <c r="HQ132" s="83"/>
      <c r="HR132" s="83"/>
      <c r="HS132" s="83"/>
      <c r="HT132" s="83"/>
      <c r="HU132" s="83"/>
      <c r="HV132" s="83"/>
      <c r="HW132" s="83"/>
      <c r="HX132" s="83"/>
      <c r="HY132" s="83"/>
      <c r="HZ132" s="83"/>
      <c r="IA132" s="83"/>
      <c r="IB132" s="83"/>
      <c r="IC132" s="83"/>
      <c r="ID132" s="83"/>
      <c r="IE132" s="83"/>
      <c r="IF132" s="83"/>
      <c r="IG132" s="83"/>
      <c r="IH132" s="83"/>
      <c r="II132" s="83"/>
      <c r="IJ132" s="83"/>
      <c r="IK132" s="83"/>
      <c r="IL132" s="83"/>
      <c r="IM132" s="83"/>
      <c r="IN132" s="83"/>
      <c r="IO132" s="83"/>
      <c r="IP132" s="83"/>
      <c r="IQ132" s="83"/>
      <c r="IR132" s="83"/>
      <c r="IS132" s="83"/>
      <c r="IT132" s="83"/>
      <c r="IU132" s="83"/>
      <c r="IV132" s="83"/>
      <c r="IW132" s="83"/>
      <c r="IX132" s="83"/>
      <c r="IY132" s="83"/>
      <c r="IZ132" s="83"/>
      <c r="JA132" s="83"/>
      <c r="JB132" s="83"/>
      <c r="JC132" s="83"/>
      <c r="JD132" s="83"/>
      <c r="JE132" s="83"/>
      <c r="JF132" s="83"/>
      <c r="JG132" s="83"/>
      <c r="JH132" s="83"/>
      <c r="JI132" s="83"/>
      <c r="JJ132" s="83"/>
      <c r="JK132" s="83"/>
      <c r="JL132" s="83"/>
      <c r="JM132" s="83"/>
      <c r="JN132" s="83"/>
      <c r="JO132" s="83"/>
      <c r="JP132" s="83"/>
      <c r="JQ132" s="83"/>
      <c r="JR132" s="83"/>
      <c r="JS132" s="83"/>
      <c r="JT132" s="83"/>
      <c r="JU132" s="83"/>
      <c r="JV132" s="83"/>
      <c r="JW132" s="83"/>
      <c r="JX132" s="83"/>
      <c r="JY132" s="83"/>
      <c r="JZ132" s="83"/>
      <c r="KA132" s="83"/>
      <c r="KB132" s="83"/>
      <c r="KC132" s="83"/>
      <c r="KD132" s="83"/>
      <c r="KE132" s="83"/>
      <c r="KF132" s="83"/>
      <c r="KG132" s="83"/>
      <c r="KH132" s="83"/>
      <c r="KI132" s="83"/>
      <c r="KJ132" s="83"/>
      <c r="KK132" s="83"/>
      <c r="KL132" s="83"/>
      <c r="KM132" s="83"/>
      <c r="KN132" s="83"/>
      <c r="KO132" s="83"/>
      <c r="KP132" s="83"/>
      <c r="KQ132" s="83"/>
      <c r="KR132" s="83"/>
      <c r="KS132" s="83"/>
      <c r="KT132" s="83"/>
      <c r="KU132" s="83"/>
      <c r="KV132" s="83"/>
      <c r="KW132" s="83"/>
      <c r="KX132" s="83"/>
      <c r="KY132" s="83"/>
      <c r="KZ132" s="83"/>
      <c r="LA132" s="83"/>
      <c r="LB132" s="83"/>
      <c r="LC132" s="83"/>
      <c r="LD132" s="83"/>
      <c r="LE132" s="83"/>
      <c r="LF132" s="83"/>
      <c r="LG132" s="83"/>
      <c r="LH132" s="83"/>
      <c r="LI132" s="83"/>
      <c r="LJ132" s="83"/>
      <c r="LK132" s="83"/>
      <c r="LL132" s="83"/>
      <c r="LM132" s="83"/>
      <c r="LN132" s="83"/>
      <c r="LO132" s="83"/>
      <c r="LP132" s="83"/>
      <c r="LQ132" s="83"/>
      <c r="LR132" s="83"/>
      <c r="LS132" s="83"/>
      <c r="LT132" s="83"/>
      <c r="LU132" s="83"/>
      <c r="LV132" s="83"/>
      <c r="LW132" s="83"/>
      <c r="LX132" s="83"/>
      <c r="LY132" s="83"/>
      <c r="LZ132" s="83"/>
      <c r="MA132" s="83"/>
      <c r="MB132" s="83"/>
      <c r="MC132" s="83"/>
      <c r="MD132" s="83"/>
      <c r="ME132" s="83"/>
      <c r="MF132" s="83"/>
      <c r="MG132" s="83"/>
      <c r="MH132" s="83"/>
      <c r="MI132" s="83"/>
      <c r="MJ132" s="83"/>
      <c r="MK132" s="83"/>
      <c r="ML132" s="83"/>
      <c r="MM132" s="83"/>
      <c r="MN132" s="83"/>
      <c r="MO132" s="83"/>
      <c r="MP132" s="83"/>
      <c r="MQ132" s="83"/>
      <c r="MR132" s="83"/>
      <c r="MS132" s="83"/>
      <c r="MT132" s="83"/>
      <c r="MU132" s="83"/>
      <c r="MV132" s="83"/>
      <c r="MW132" s="83"/>
      <c r="MX132" s="83"/>
      <c r="MY132" s="83"/>
      <c r="MZ132" s="83"/>
      <c r="NA132" s="83"/>
      <c r="NB132" s="83"/>
      <c r="NC132" s="83"/>
      <c r="ND132" s="83"/>
      <c r="NE132" s="83"/>
      <c r="NF132" s="83"/>
      <c r="NG132" s="83"/>
      <c r="NH132" s="83"/>
      <c r="NI132" s="83"/>
      <c r="NJ132" s="83"/>
      <c r="NK132" s="83"/>
      <c r="NL132" s="83"/>
      <c r="NM132" s="83"/>
      <c r="NN132" s="83"/>
      <c r="NO132" s="83"/>
      <c r="NP132" s="83"/>
      <c r="NQ132" s="83"/>
      <c r="NR132" s="83"/>
      <c r="NS132" s="83"/>
      <c r="NT132" s="83"/>
      <c r="NU132" s="83"/>
      <c r="NV132" s="83"/>
      <c r="NW132" s="83"/>
      <c r="NX132" s="83"/>
      <c r="NY132" s="83"/>
      <c r="NZ132" s="83"/>
      <c r="OA132" s="83"/>
      <c r="OB132" s="83"/>
      <c r="OC132" s="83"/>
      <c r="OD132" s="83"/>
      <c r="OE132" s="83"/>
      <c r="OF132" s="83"/>
      <c r="OG132" s="83"/>
      <c r="OH132" s="83"/>
      <c r="OI132" s="83"/>
      <c r="OJ132" s="83"/>
      <c r="OK132" s="83"/>
      <c r="OL132" s="83"/>
      <c r="OM132" s="83"/>
      <c r="ON132" s="83"/>
      <c r="OO132" s="83"/>
      <c r="OP132" s="83"/>
      <c r="OQ132" s="83"/>
      <c r="OR132" s="83"/>
      <c r="OS132" s="83"/>
      <c r="OT132" s="83"/>
      <c r="OU132" s="83"/>
      <c r="OV132" s="83"/>
      <c r="OW132" s="83"/>
      <c r="OX132" s="83"/>
      <c r="OY132" s="83"/>
      <c r="OZ132" s="83"/>
      <c r="PA132" s="83"/>
      <c r="PB132" s="83"/>
      <c r="PC132" s="83"/>
      <c r="PD132" s="83"/>
      <c r="PE132" s="83"/>
      <c r="PF132" s="83"/>
      <c r="PG132" s="83"/>
      <c r="PH132" s="83"/>
      <c r="PI132" s="83"/>
      <c r="PJ132" s="83"/>
      <c r="PK132" s="83"/>
      <c r="PL132" s="83"/>
      <c r="PM132" s="83"/>
      <c r="PN132" s="83"/>
      <c r="PO132" s="83"/>
      <c r="PP132" s="83"/>
      <c r="PQ132" s="83"/>
      <c r="PR132" s="83"/>
      <c r="PS132" s="83"/>
      <c r="PT132" s="83"/>
      <c r="PU132" s="83"/>
      <c r="PV132" s="83"/>
      <c r="PW132" s="83"/>
      <c r="PX132" s="83"/>
      <c r="PY132" s="83"/>
      <c r="PZ132" s="83"/>
      <c r="QA132" s="83"/>
      <c r="QB132" s="83"/>
      <c r="QC132" s="83"/>
      <c r="QD132" s="83"/>
      <c r="QE132" s="83"/>
      <c r="QF132" s="83"/>
      <c r="QG132" s="83"/>
      <c r="QH132" s="83"/>
      <c r="QI132" s="83"/>
      <c r="QJ132" s="83"/>
      <c r="QK132" s="83"/>
      <c r="QL132" s="83"/>
      <c r="QM132" s="83"/>
      <c r="QN132" s="83"/>
      <c r="QO132" s="83"/>
      <c r="QP132" s="83"/>
      <c r="QQ132" s="83"/>
      <c r="QR132" s="83"/>
      <c r="QS132" s="83"/>
      <c r="QT132" s="83"/>
      <c r="QU132" s="83"/>
      <c r="QV132" s="83"/>
      <c r="QW132" s="83"/>
      <c r="QX132" s="83"/>
      <c r="QY132" s="83"/>
      <c r="QZ132" s="83"/>
      <c r="RA132" s="83"/>
      <c r="RB132" s="83"/>
      <c r="RC132" s="83"/>
      <c r="RD132" s="83"/>
      <c r="RE132" s="83"/>
      <c r="RF132" s="83"/>
      <c r="RG132" s="83"/>
      <c r="RH132" s="83"/>
      <c r="RI132" s="83"/>
      <c r="RJ132" s="83"/>
      <c r="RK132" s="83"/>
      <c r="RL132" s="83"/>
      <c r="RM132" s="83"/>
      <c r="RN132" s="83"/>
      <c r="RO132" s="83"/>
      <c r="RP132" s="83"/>
      <c r="RQ132" s="83"/>
      <c r="RR132" s="83"/>
      <c r="RS132" s="83"/>
      <c r="RT132" s="83"/>
      <c r="RU132" s="83"/>
      <c r="RV132" s="83"/>
      <c r="RW132" s="83"/>
      <c r="RX132" s="83"/>
      <c r="RY132" s="83"/>
      <c r="RZ132" s="83"/>
      <c r="SA132" s="83"/>
      <c r="SB132" s="83"/>
      <c r="SC132" s="83"/>
      <c r="SD132" s="83"/>
      <c r="SE132" s="83"/>
      <c r="SF132" s="83"/>
      <c r="SG132" s="83"/>
      <c r="SH132" s="83"/>
      <c r="SI132" s="83"/>
      <c r="SJ132" s="83"/>
      <c r="SK132" s="83"/>
      <c r="SL132" s="83"/>
      <c r="SM132" s="83"/>
      <c r="SN132" s="83"/>
      <c r="SO132" s="83"/>
      <c r="SP132" s="83"/>
      <c r="SQ132" s="83"/>
      <c r="SR132" s="83"/>
      <c r="SS132" s="83"/>
      <c r="ST132" s="83"/>
    </row>
    <row r="133" spans="1:514" s="376" customFormat="1" ht="24.6" customHeight="1" x14ac:dyDescent="0.25">
      <c r="A133" s="373"/>
      <c r="B133" s="373" t="s">
        <v>336</v>
      </c>
      <c r="C133" s="902"/>
      <c r="D133" s="373" t="s">
        <v>130</v>
      </c>
      <c r="E133" s="374">
        <v>2</v>
      </c>
      <c r="F133" s="374">
        <v>2</v>
      </c>
      <c r="G133" s="639">
        <f>3+1</f>
        <v>4</v>
      </c>
      <c r="H133" s="639">
        <f t="shared" ref="H133:I133" si="144">3+1</f>
        <v>4</v>
      </c>
      <c r="I133" s="639">
        <f t="shared" si="144"/>
        <v>4</v>
      </c>
      <c r="J133" s="375">
        <v>4842.07</v>
      </c>
      <c r="K133" s="375">
        <v>0</v>
      </c>
      <c r="L133" s="375">
        <v>0</v>
      </c>
      <c r="M133" s="375">
        <f t="shared" ref="M133" si="145">J133+K133+L133</f>
        <v>4842.07</v>
      </c>
      <c r="N133" s="375">
        <f t="shared" ref="N133" si="146">G133*J133</f>
        <v>19368.28</v>
      </c>
      <c r="O133" s="375">
        <f t="shared" ref="O133" si="147">G133*K133</f>
        <v>0</v>
      </c>
      <c r="P133" s="375"/>
      <c r="Q133" s="375">
        <f t="shared" ref="Q133" si="148">G133*L133</f>
        <v>0</v>
      </c>
      <c r="R133" s="375"/>
      <c r="S133" s="375"/>
      <c r="T133" s="375">
        <f t="shared" ref="T133" si="149">SUM(N133:Q133)</f>
        <v>19368.28</v>
      </c>
      <c r="U133" s="375">
        <f t="shared" si="141"/>
        <v>19368.28</v>
      </c>
      <c r="V133" s="375">
        <f t="shared" si="142"/>
        <v>19368.28</v>
      </c>
      <c r="AD133" s="83"/>
      <c r="AE133" s="83"/>
      <c r="AF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  <c r="BI133" s="83"/>
      <c r="BJ133" s="83"/>
      <c r="BK133" s="83"/>
      <c r="BL133" s="83"/>
      <c r="BM133" s="83"/>
      <c r="BN133" s="83"/>
      <c r="BO133" s="83"/>
      <c r="BP133" s="83"/>
      <c r="BQ133" s="83"/>
      <c r="BR133" s="83"/>
      <c r="BS133" s="83"/>
      <c r="BT133" s="83"/>
      <c r="BU133" s="83"/>
      <c r="BV133" s="83"/>
      <c r="BW133" s="83"/>
      <c r="BX133" s="83"/>
      <c r="BY133" s="83"/>
      <c r="BZ133" s="83"/>
      <c r="CA133" s="83"/>
      <c r="CB133" s="83"/>
      <c r="CC133" s="83"/>
      <c r="CD133" s="83"/>
      <c r="CE133" s="83"/>
      <c r="CF133" s="83"/>
      <c r="CG133" s="83"/>
      <c r="CH133" s="83"/>
      <c r="CI133" s="83"/>
      <c r="CJ133" s="83"/>
      <c r="CK133" s="83"/>
      <c r="CL133" s="83"/>
      <c r="CM133" s="83"/>
      <c r="CN133" s="83"/>
      <c r="CO133" s="83"/>
      <c r="CP133" s="83"/>
      <c r="CQ133" s="83"/>
      <c r="CR133" s="83"/>
      <c r="CS133" s="83"/>
      <c r="CT133" s="83"/>
      <c r="CU133" s="83"/>
      <c r="CV133" s="83"/>
      <c r="CW133" s="83"/>
      <c r="CX133" s="83"/>
      <c r="CY133" s="83"/>
      <c r="CZ133" s="83"/>
      <c r="DA133" s="83"/>
      <c r="DB133" s="83"/>
      <c r="DC133" s="83"/>
      <c r="DD133" s="83"/>
      <c r="DE133" s="83"/>
      <c r="DF133" s="83"/>
      <c r="DG133" s="83"/>
      <c r="DH133" s="83"/>
      <c r="DI133" s="83"/>
      <c r="DJ133" s="83"/>
      <c r="DK133" s="83"/>
      <c r="DL133" s="83"/>
      <c r="DM133" s="83"/>
      <c r="DN133" s="83"/>
      <c r="DO133" s="83"/>
      <c r="DP133" s="83"/>
      <c r="DQ133" s="83"/>
      <c r="DR133" s="83"/>
      <c r="DS133" s="83"/>
      <c r="DT133" s="83"/>
      <c r="DU133" s="83"/>
      <c r="DV133" s="83"/>
      <c r="DW133" s="83"/>
      <c r="DX133" s="83"/>
      <c r="DY133" s="83"/>
      <c r="DZ133" s="83"/>
      <c r="EA133" s="83"/>
      <c r="EB133" s="83"/>
      <c r="EC133" s="83"/>
      <c r="ED133" s="83"/>
      <c r="EE133" s="83"/>
      <c r="EF133" s="83"/>
      <c r="EG133" s="83"/>
      <c r="EH133" s="83"/>
      <c r="EI133" s="83"/>
      <c r="EJ133" s="83"/>
      <c r="EK133" s="83"/>
      <c r="EL133" s="83"/>
      <c r="EM133" s="83"/>
      <c r="EN133" s="83"/>
      <c r="EO133" s="83"/>
      <c r="EP133" s="83"/>
      <c r="EQ133" s="83"/>
      <c r="ER133" s="83"/>
      <c r="ES133" s="83"/>
      <c r="ET133" s="83"/>
      <c r="EU133" s="83"/>
      <c r="EV133" s="83"/>
      <c r="EW133" s="83"/>
      <c r="EX133" s="83"/>
      <c r="EY133" s="83"/>
      <c r="EZ133" s="83"/>
      <c r="FA133" s="83"/>
      <c r="FB133" s="83"/>
      <c r="FC133" s="83"/>
      <c r="FD133" s="83"/>
      <c r="FE133" s="83"/>
      <c r="FF133" s="83"/>
      <c r="FG133" s="83"/>
      <c r="FH133" s="83"/>
      <c r="FI133" s="83"/>
      <c r="FJ133" s="83"/>
      <c r="FK133" s="83"/>
      <c r="FL133" s="83"/>
      <c r="FM133" s="83"/>
      <c r="FN133" s="83"/>
      <c r="FO133" s="83"/>
      <c r="FP133" s="83"/>
      <c r="FQ133" s="83"/>
      <c r="FR133" s="83"/>
      <c r="FS133" s="83"/>
      <c r="FT133" s="83"/>
      <c r="FU133" s="83"/>
      <c r="FV133" s="83"/>
      <c r="FW133" s="83"/>
      <c r="FX133" s="83"/>
      <c r="FY133" s="83"/>
      <c r="FZ133" s="83"/>
      <c r="GA133" s="83"/>
      <c r="GB133" s="83"/>
      <c r="GC133" s="83"/>
      <c r="GD133" s="83"/>
      <c r="GE133" s="83"/>
      <c r="GF133" s="83"/>
      <c r="GG133" s="83"/>
      <c r="GH133" s="83"/>
      <c r="GI133" s="83"/>
      <c r="GJ133" s="83"/>
      <c r="GK133" s="83"/>
      <c r="GL133" s="83"/>
      <c r="GM133" s="83"/>
      <c r="GN133" s="83"/>
      <c r="GO133" s="83"/>
      <c r="GP133" s="83"/>
      <c r="GQ133" s="83"/>
      <c r="GR133" s="83"/>
      <c r="GS133" s="83"/>
      <c r="GT133" s="83"/>
      <c r="GU133" s="83"/>
      <c r="GV133" s="83"/>
      <c r="GW133" s="83"/>
      <c r="GX133" s="83"/>
      <c r="GY133" s="83"/>
      <c r="GZ133" s="83"/>
      <c r="HA133" s="83"/>
      <c r="HB133" s="83"/>
      <c r="HC133" s="83"/>
      <c r="HD133" s="83"/>
      <c r="HE133" s="83"/>
      <c r="HF133" s="83"/>
      <c r="HG133" s="83"/>
      <c r="HH133" s="83"/>
      <c r="HI133" s="83"/>
      <c r="HJ133" s="83"/>
      <c r="HK133" s="83"/>
      <c r="HL133" s="83"/>
      <c r="HM133" s="83"/>
      <c r="HN133" s="83"/>
      <c r="HO133" s="83"/>
      <c r="HP133" s="83"/>
      <c r="HQ133" s="83"/>
      <c r="HR133" s="83"/>
      <c r="HS133" s="83"/>
      <c r="HT133" s="83"/>
      <c r="HU133" s="83"/>
      <c r="HV133" s="83"/>
      <c r="HW133" s="83"/>
      <c r="HX133" s="83"/>
      <c r="HY133" s="83"/>
      <c r="HZ133" s="83"/>
      <c r="IA133" s="83"/>
      <c r="IB133" s="83"/>
      <c r="IC133" s="83"/>
      <c r="ID133" s="83"/>
      <c r="IE133" s="83"/>
      <c r="IF133" s="83"/>
      <c r="IG133" s="83"/>
      <c r="IH133" s="83"/>
      <c r="II133" s="83"/>
      <c r="IJ133" s="83"/>
      <c r="IK133" s="83"/>
      <c r="IL133" s="83"/>
      <c r="IM133" s="83"/>
      <c r="IN133" s="83"/>
      <c r="IO133" s="83"/>
      <c r="IP133" s="83"/>
      <c r="IQ133" s="83"/>
      <c r="IR133" s="83"/>
      <c r="IS133" s="83"/>
      <c r="IT133" s="83"/>
      <c r="IU133" s="83"/>
      <c r="IV133" s="83"/>
      <c r="IW133" s="83"/>
      <c r="IX133" s="83"/>
      <c r="IY133" s="83"/>
      <c r="IZ133" s="83"/>
      <c r="JA133" s="83"/>
      <c r="JB133" s="83"/>
      <c r="JC133" s="83"/>
      <c r="JD133" s="83"/>
      <c r="JE133" s="83"/>
      <c r="JF133" s="83"/>
      <c r="JG133" s="83"/>
      <c r="JH133" s="83"/>
      <c r="JI133" s="83"/>
      <c r="JJ133" s="83"/>
      <c r="JK133" s="83"/>
      <c r="JL133" s="83"/>
      <c r="JM133" s="83"/>
      <c r="JN133" s="83"/>
      <c r="JO133" s="83"/>
      <c r="JP133" s="83"/>
      <c r="JQ133" s="83"/>
      <c r="JR133" s="83"/>
      <c r="JS133" s="83"/>
      <c r="JT133" s="83"/>
      <c r="JU133" s="83"/>
      <c r="JV133" s="83"/>
      <c r="JW133" s="83"/>
      <c r="JX133" s="83"/>
      <c r="JY133" s="83"/>
      <c r="JZ133" s="83"/>
      <c r="KA133" s="83"/>
      <c r="KB133" s="83"/>
      <c r="KC133" s="83"/>
      <c r="KD133" s="83"/>
      <c r="KE133" s="83"/>
      <c r="KF133" s="83"/>
      <c r="KG133" s="83"/>
      <c r="KH133" s="83"/>
      <c r="KI133" s="83"/>
      <c r="KJ133" s="83"/>
      <c r="KK133" s="83"/>
      <c r="KL133" s="83"/>
      <c r="KM133" s="83"/>
      <c r="KN133" s="83"/>
      <c r="KO133" s="83"/>
      <c r="KP133" s="83"/>
      <c r="KQ133" s="83"/>
      <c r="KR133" s="83"/>
      <c r="KS133" s="83"/>
      <c r="KT133" s="83"/>
      <c r="KU133" s="83"/>
      <c r="KV133" s="83"/>
      <c r="KW133" s="83"/>
      <c r="KX133" s="83"/>
      <c r="KY133" s="83"/>
      <c r="KZ133" s="83"/>
      <c r="LA133" s="83"/>
      <c r="LB133" s="83"/>
      <c r="LC133" s="83"/>
      <c r="LD133" s="83"/>
      <c r="LE133" s="83"/>
      <c r="LF133" s="83"/>
      <c r="LG133" s="83"/>
      <c r="LH133" s="83"/>
      <c r="LI133" s="83"/>
      <c r="LJ133" s="83"/>
      <c r="LK133" s="83"/>
      <c r="LL133" s="83"/>
      <c r="LM133" s="83"/>
      <c r="LN133" s="83"/>
      <c r="LO133" s="83"/>
      <c r="LP133" s="83"/>
      <c r="LQ133" s="83"/>
      <c r="LR133" s="83"/>
      <c r="LS133" s="83"/>
      <c r="LT133" s="83"/>
      <c r="LU133" s="83"/>
      <c r="LV133" s="83"/>
      <c r="LW133" s="83"/>
      <c r="LX133" s="83"/>
      <c r="LY133" s="83"/>
      <c r="LZ133" s="83"/>
      <c r="MA133" s="83"/>
      <c r="MB133" s="83"/>
      <c r="MC133" s="83"/>
      <c r="MD133" s="83"/>
      <c r="ME133" s="83"/>
      <c r="MF133" s="83"/>
      <c r="MG133" s="83"/>
      <c r="MH133" s="83"/>
      <c r="MI133" s="83"/>
      <c r="MJ133" s="83"/>
      <c r="MK133" s="83"/>
      <c r="ML133" s="83"/>
      <c r="MM133" s="83"/>
      <c r="MN133" s="83"/>
      <c r="MO133" s="83"/>
      <c r="MP133" s="83"/>
      <c r="MQ133" s="83"/>
      <c r="MR133" s="83"/>
      <c r="MS133" s="83"/>
      <c r="MT133" s="83"/>
      <c r="MU133" s="83"/>
      <c r="MV133" s="83"/>
      <c r="MW133" s="83"/>
      <c r="MX133" s="83"/>
      <c r="MY133" s="83"/>
      <c r="MZ133" s="83"/>
      <c r="NA133" s="83"/>
      <c r="NB133" s="83"/>
      <c r="NC133" s="83"/>
      <c r="ND133" s="83"/>
      <c r="NE133" s="83"/>
      <c r="NF133" s="83"/>
      <c r="NG133" s="83"/>
      <c r="NH133" s="83"/>
      <c r="NI133" s="83"/>
      <c r="NJ133" s="83"/>
      <c r="NK133" s="83"/>
      <c r="NL133" s="83"/>
      <c r="NM133" s="83"/>
      <c r="NN133" s="83"/>
      <c r="NO133" s="83"/>
      <c r="NP133" s="83"/>
      <c r="NQ133" s="83"/>
      <c r="NR133" s="83"/>
      <c r="NS133" s="83"/>
      <c r="NT133" s="83"/>
      <c r="NU133" s="83"/>
      <c r="NV133" s="83"/>
      <c r="NW133" s="83"/>
      <c r="NX133" s="83"/>
      <c r="NY133" s="83"/>
      <c r="NZ133" s="83"/>
      <c r="OA133" s="83"/>
      <c r="OB133" s="83"/>
      <c r="OC133" s="83"/>
      <c r="OD133" s="83"/>
      <c r="OE133" s="83"/>
      <c r="OF133" s="83"/>
      <c r="OG133" s="83"/>
      <c r="OH133" s="83"/>
      <c r="OI133" s="83"/>
      <c r="OJ133" s="83"/>
      <c r="OK133" s="83"/>
      <c r="OL133" s="83"/>
      <c r="OM133" s="83"/>
      <c r="ON133" s="83"/>
      <c r="OO133" s="83"/>
      <c r="OP133" s="83"/>
      <c r="OQ133" s="83"/>
      <c r="OR133" s="83"/>
      <c r="OS133" s="83"/>
      <c r="OT133" s="83"/>
      <c r="OU133" s="83"/>
      <c r="OV133" s="83"/>
      <c r="OW133" s="83"/>
      <c r="OX133" s="83"/>
      <c r="OY133" s="83"/>
      <c r="OZ133" s="83"/>
      <c r="PA133" s="83"/>
      <c r="PB133" s="83"/>
      <c r="PC133" s="83"/>
      <c r="PD133" s="83"/>
      <c r="PE133" s="83"/>
      <c r="PF133" s="83"/>
      <c r="PG133" s="83"/>
      <c r="PH133" s="83"/>
      <c r="PI133" s="83"/>
      <c r="PJ133" s="83"/>
      <c r="PK133" s="83"/>
      <c r="PL133" s="83"/>
      <c r="PM133" s="83"/>
      <c r="PN133" s="83"/>
      <c r="PO133" s="83"/>
      <c r="PP133" s="83"/>
      <c r="PQ133" s="83"/>
      <c r="PR133" s="83"/>
      <c r="PS133" s="83"/>
      <c r="PT133" s="83"/>
      <c r="PU133" s="83"/>
      <c r="PV133" s="83"/>
      <c r="PW133" s="83"/>
      <c r="PX133" s="83"/>
      <c r="PY133" s="83"/>
      <c r="PZ133" s="83"/>
      <c r="QA133" s="83"/>
      <c r="QB133" s="83"/>
      <c r="QC133" s="83"/>
      <c r="QD133" s="83"/>
      <c r="QE133" s="83"/>
      <c r="QF133" s="83"/>
      <c r="QG133" s="83"/>
      <c r="QH133" s="83"/>
      <c r="QI133" s="83"/>
      <c r="QJ133" s="83"/>
      <c r="QK133" s="83"/>
      <c r="QL133" s="83"/>
      <c r="QM133" s="83"/>
      <c r="QN133" s="83"/>
      <c r="QO133" s="83"/>
      <c r="QP133" s="83"/>
      <c r="QQ133" s="83"/>
      <c r="QR133" s="83"/>
      <c r="QS133" s="83"/>
      <c r="QT133" s="83"/>
      <c r="QU133" s="83"/>
      <c r="QV133" s="83"/>
      <c r="QW133" s="83"/>
      <c r="QX133" s="83"/>
      <c r="QY133" s="83"/>
      <c r="QZ133" s="83"/>
      <c r="RA133" s="83"/>
      <c r="RB133" s="83"/>
      <c r="RC133" s="83"/>
      <c r="RD133" s="83"/>
      <c r="RE133" s="83"/>
      <c r="RF133" s="83"/>
      <c r="RG133" s="83"/>
      <c r="RH133" s="83"/>
      <c r="RI133" s="83"/>
      <c r="RJ133" s="83"/>
      <c r="RK133" s="83"/>
      <c r="RL133" s="83"/>
      <c r="RM133" s="83"/>
      <c r="RN133" s="83"/>
      <c r="RO133" s="83"/>
      <c r="RP133" s="83"/>
      <c r="RQ133" s="83"/>
      <c r="RR133" s="83"/>
      <c r="RS133" s="83"/>
      <c r="RT133" s="83"/>
      <c r="RU133" s="83"/>
      <c r="RV133" s="83"/>
      <c r="RW133" s="83"/>
      <c r="RX133" s="83"/>
      <c r="RY133" s="83"/>
      <c r="RZ133" s="83"/>
      <c r="SA133" s="83"/>
      <c r="SB133" s="83"/>
      <c r="SC133" s="83"/>
      <c r="SD133" s="83"/>
      <c r="SE133" s="83"/>
      <c r="SF133" s="83"/>
      <c r="SG133" s="83"/>
      <c r="SH133" s="83"/>
      <c r="SI133" s="83"/>
      <c r="SJ133" s="83"/>
      <c r="SK133" s="83"/>
      <c r="SL133" s="83"/>
      <c r="SM133" s="83"/>
      <c r="SN133" s="83"/>
      <c r="SO133" s="83"/>
      <c r="SP133" s="83"/>
      <c r="SQ133" s="83"/>
      <c r="SR133" s="83"/>
      <c r="SS133" s="83"/>
      <c r="ST133" s="83"/>
    </row>
    <row r="134" spans="1:514" s="376" customFormat="1" ht="25.2" customHeight="1" x14ac:dyDescent="0.25">
      <c r="A134" s="373"/>
      <c r="B134" s="373" t="s">
        <v>330</v>
      </c>
      <c r="C134" s="902"/>
      <c r="D134" s="373" t="s">
        <v>130</v>
      </c>
      <c r="E134" s="374">
        <v>28</v>
      </c>
      <c r="F134" s="374">
        <f>27+14</f>
        <v>41</v>
      </c>
      <c r="G134" s="639">
        <v>10</v>
      </c>
      <c r="H134" s="374">
        <v>24</v>
      </c>
      <c r="I134" s="374">
        <v>24</v>
      </c>
      <c r="J134" s="375">
        <v>4842.07</v>
      </c>
      <c r="K134" s="375">
        <v>0</v>
      </c>
      <c r="L134" s="375">
        <v>0</v>
      </c>
      <c r="M134" s="375">
        <f t="shared" si="137"/>
        <v>4842.07</v>
      </c>
      <c r="N134" s="375">
        <f>G134*J134</f>
        <v>48420.7</v>
      </c>
      <c r="O134" s="375">
        <f t="shared" si="138"/>
        <v>0</v>
      </c>
      <c r="P134" s="375"/>
      <c r="Q134" s="375">
        <f t="shared" si="100"/>
        <v>0</v>
      </c>
      <c r="R134" s="375"/>
      <c r="S134" s="375"/>
      <c r="T134" s="375">
        <f t="shared" ref="T134" si="150">SUM(N134:Q134)</f>
        <v>48420.7</v>
      </c>
      <c r="U134" s="375">
        <f t="shared" si="141"/>
        <v>116209.68</v>
      </c>
      <c r="V134" s="375">
        <f t="shared" si="142"/>
        <v>116209.68</v>
      </c>
      <c r="AD134" s="83"/>
      <c r="AE134" s="83"/>
      <c r="AF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  <c r="BH134" s="83"/>
      <c r="BI134" s="83"/>
      <c r="BJ134" s="83"/>
      <c r="BK134" s="83"/>
      <c r="BL134" s="83"/>
      <c r="BM134" s="83"/>
      <c r="BN134" s="83"/>
      <c r="BO134" s="83"/>
      <c r="BP134" s="83"/>
      <c r="BQ134" s="83"/>
      <c r="BR134" s="83"/>
      <c r="BS134" s="83"/>
      <c r="BT134" s="83"/>
      <c r="BU134" s="83"/>
      <c r="BV134" s="83"/>
      <c r="BW134" s="83"/>
      <c r="BX134" s="83"/>
      <c r="BY134" s="83"/>
      <c r="BZ134" s="83"/>
      <c r="CA134" s="83"/>
      <c r="CB134" s="83"/>
      <c r="CC134" s="83"/>
      <c r="CD134" s="83"/>
      <c r="CE134" s="83"/>
      <c r="CF134" s="83"/>
      <c r="CG134" s="83"/>
      <c r="CH134" s="83"/>
      <c r="CI134" s="83"/>
      <c r="CJ134" s="83"/>
      <c r="CK134" s="83"/>
      <c r="CL134" s="83"/>
      <c r="CM134" s="83"/>
      <c r="CN134" s="83"/>
      <c r="CO134" s="83"/>
      <c r="CP134" s="83"/>
      <c r="CQ134" s="83"/>
      <c r="CR134" s="83"/>
      <c r="CS134" s="83"/>
      <c r="CT134" s="83"/>
      <c r="CU134" s="83"/>
      <c r="CV134" s="83"/>
      <c r="CW134" s="83"/>
      <c r="CX134" s="83"/>
      <c r="CY134" s="83"/>
      <c r="CZ134" s="83"/>
      <c r="DA134" s="83"/>
      <c r="DB134" s="83"/>
      <c r="DC134" s="83"/>
      <c r="DD134" s="83"/>
      <c r="DE134" s="83"/>
      <c r="DF134" s="83"/>
      <c r="DG134" s="83"/>
      <c r="DH134" s="83"/>
      <c r="DI134" s="83"/>
      <c r="DJ134" s="83"/>
      <c r="DK134" s="83"/>
      <c r="DL134" s="83"/>
      <c r="DM134" s="83"/>
      <c r="DN134" s="83"/>
      <c r="DO134" s="83"/>
      <c r="DP134" s="83"/>
      <c r="DQ134" s="83"/>
      <c r="DR134" s="83"/>
      <c r="DS134" s="83"/>
      <c r="DT134" s="83"/>
      <c r="DU134" s="83"/>
      <c r="DV134" s="83"/>
      <c r="DW134" s="83"/>
      <c r="DX134" s="83"/>
      <c r="DY134" s="83"/>
      <c r="DZ134" s="83"/>
      <c r="EA134" s="83"/>
      <c r="EB134" s="83"/>
      <c r="EC134" s="83"/>
      <c r="ED134" s="83"/>
      <c r="EE134" s="83"/>
      <c r="EF134" s="83"/>
      <c r="EG134" s="83"/>
      <c r="EH134" s="83"/>
      <c r="EI134" s="83"/>
      <c r="EJ134" s="83"/>
      <c r="EK134" s="83"/>
      <c r="EL134" s="83"/>
      <c r="EM134" s="83"/>
      <c r="EN134" s="83"/>
      <c r="EO134" s="83"/>
      <c r="EP134" s="83"/>
      <c r="EQ134" s="83"/>
      <c r="ER134" s="83"/>
      <c r="ES134" s="83"/>
      <c r="ET134" s="83"/>
      <c r="EU134" s="83"/>
      <c r="EV134" s="83"/>
      <c r="EW134" s="83"/>
      <c r="EX134" s="83"/>
      <c r="EY134" s="83"/>
      <c r="EZ134" s="83"/>
      <c r="FA134" s="83"/>
      <c r="FB134" s="83"/>
      <c r="FC134" s="83"/>
      <c r="FD134" s="83"/>
      <c r="FE134" s="83"/>
      <c r="FF134" s="83"/>
      <c r="FG134" s="83"/>
      <c r="FH134" s="83"/>
      <c r="FI134" s="83"/>
      <c r="FJ134" s="83"/>
      <c r="FK134" s="83"/>
      <c r="FL134" s="83"/>
      <c r="FM134" s="83"/>
      <c r="FN134" s="83"/>
      <c r="FO134" s="83"/>
      <c r="FP134" s="83"/>
      <c r="FQ134" s="83"/>
      <c r="FR134" s="83"/>
      <c r="FS134" s="83"/>
      <c r="FT134" s="83"/>
      <c r="FU134" s="83"/>
      <c r="FV134" s="83"/>
      <c r="FW134" s="83"/>
      <c r="FX134" s="83"/>
      <c r="FY134" s="83"/>
      <c r="FZ134" s="83"/>
      <c r="GA134" s="83"/>
      <c r="GB134" s="83"/>
      <c r="GC134" s="83"/>
      <c r="GD134" s="83"/>
      <c r="GE134" s="83"/>
      <c r="GF134" s="83"/>
      <c r="GG134" s="83"/>
      <c r="GH134" s="83"/>
      <c r="GI134" s="83"/>
      <c r="GJ134" s="83"/>
      <c r="GK134" s="83"/>
      <c r="GL134" s="83"/>
      <c r="GM134" s="83"/>
      <c r="GN134" s="83"/>
      <c r="GO134" s="83"/>
      <c r="GP134" s="83"/>
      <c r="GQ134" s="83"/>
      <c r="GR134" s="83"/>
      <c r="GS134" s="83"/>
      <c r="GT134" s="83"/>
      <c r="GU134" s="83"/>
      <c r="GV134" s="83"/>
      <c r="GW134" s="83"/>
      <c r="GX134" s="83"/>
      <c r="GY134" s="83"/>
      <c r="GZ134" s="83"/>
      <c r="HA134" s="83"/>
      <c r="HB134" s="83"/>
      <c r="HC134" s="83"/>
      <c r="HD134" s="83"/>
      <c r="HE134" s="83"/>
      <c r="HF134" s="83"/>
      <c r="HG134" s="83"/>
      <c r="HH134" s="83"/>
      <c r="HI134" s="83"/>
      <c r="HJ134" s="83"/>
      <c r="HK134" s="83"/>
      <c r="HL134" s="83"/>
      <c r="HM134" s="83"/>
      <c r="HN134" s="83"/>
      <c r="HO134" s="83"/>
      <c r="HP134" s="83"/>
      <c r="HQ134" s="83"/>
      <c r="HR134" s="83"/>
      <c r="HS134" s="83"/>
      <c r="HT134" s="83"/>
      <c r="HU134" s="83"/>
      <c r="HV134" s="83"/>
      <c r="HW134" s="83"/>
      <c r="HX134" s="83"/>
      <c r="HY134" s="83"/>
      <c r="HZ134" s="83"/>
      <c r="IA134" s="83"/>
      <c r="IB134" s="83"/>
      <c r="IC134" s="83"/>
      <c r="ID134" s="83"/>
      <c r="IE134" s="83"/>
      <c r="IF134" s="83"/>
      <c r="IG134" s="83"/>
      <c r="IH134" s="83"/>
      <c r="II134" s="83"/>
      <c r="IJ134" s="83"/>
      <c r="IK134" s="83"/>
      <c r="IL134" s="83"/>
      <c r="IM134" s="83"/>
      <c r="IN134" s="83"/>
      <c r="IO134" s="83"/>
      <c r="IP134" s="83"/>
      <c r="IQ134" s="83"/>
      <c r="IR134" s="83"/>
      <c r="IS134" s="83"/>
      <c r="IT134" s="83"/>
      <c r="IU134" s="83"/>
      <c r="IV134" s="83"/>
      <c r="IW134" s="83"/>
      <c r="IX134" s="83"/>
      <c r="IY134" s="83"/>
      <c r="IZ134" s="83"/>
      <c r="JA134" s="83"/>
      <c r="JB134" s="83"/>
      <c r="JC134" s="83"/>
      <c r="JD134" s="83"/>
      <c r="JE134" s="83"/>
      <c r="JF134" s="83"/>
      <c r="JG134" s="83"/>
      <c r="JH134" s="83"/>
      <c r="JI134" s="83"/>
      <c r="JJ134" s="83"/>
      <c r="JK134" s="83"/>
      <c r="JL134" s="83"/>
      <c r="JM134" s="83"/>
      <c r="JN134" s="83"/>
      <c r="JO134" s="83"/>
      <c r="JP134" s="83"/>
      <c r="JQ134" s="83"/>
      <c r="JR134" s="83"/>
      <c r="JS134" s="83"/>
      <c r="JT134" s="83"/>
      <c r="JU134" s="83"/>
      <c r="JV134" s="83"/>
      <c r="JW134" s="83"/>
      <c r="JX134" s="83"/>
      <c r="JY134" s="83"/>
      <c r="JZ134" s="83"/>
      <c r="KA134" s="83"/>
      <c r="KB134" s="83"/>
      <c r="KC134" s="83"/>
      <c r="KD134" s="83"/>
      <c r="KE134" s="83"/>
      <c r="KF134" s="83"/>
      <c r="KG134" s="83"/>
      <c r="KH134" s="83"/>
      <c r="KI134" s="83"/>
      <c r="KJ134" s="83"/>
      <c r="KK134" s="83"/>
      <c r="KL134" s="83"/>
      <c r="KM134" s="83"/>
      <c r="KN134" s="83"/>
      <c r="KO134" s="83"/>
      <c r="KP134" s="83"/>
      <c r="KQ134" s="83"/>
      <c r="KR134" s="83"/>
      <c r="KS134" s="83"/>
      <c r="KT134" s="83"/>
      <c r="KU134" s="83"/>
      <c r="KV134" s="83"/>
      <c r="KW134" s="83"/>
      <c r="KX134" s="83"/>
      <c r="KY134" s="83"/>
      <c r="KZ134" s="83"/>
      <c r="LA134" s="83"/>
      <c r="LB134" s="83"/>
      <c r="LC134" s="83"/>
      <c r="LD134" s="83"/>
      <c r="LE134" s="83"/>
      <c r="LF134" s="83"/>
      <c r="LG134" s="83"/>
      <c r="LH134" s="83"/>
      <c r="LI134" s="83"/>
      <c r="LJ134" s="83"/>
      <c r="LK134" s="83"/>
      <c r="LL134" s="83"/>
      <c r="LM134" s="83"/>
      <c r="LN134" s="83"/>
      <c r="LO134" s="83"/>
      <c r="LP134" s="83"/>
      <c r="LQ134" s="83"/>
      <c r="LR134" s="83"/>
      <c r="LS134" s="83"/>
      <c r="LT134" s="83"/>
      <c r="LU134" s="83"/>
      <c r="LV134" s="83"/>
      <c r="LW134" s="83"/>
      <c r="LX134" s="83"/>
      <c r="LY134" s="83"/>
      <c r="LZ134" s="83"/>
      <c r="MA134" s="83"/>
      <c r="MB134" s="83"/>
      <c r="MC134" s="83"/>
      <c r="MD134" s="83"/>
      <c r="ME134" s="83"/>
      <c r="MF134" s="83"/>
      <c r="MG134" s="83"/>
      <c r="MH134" s="83"/>
      <c r="MI134" s="83"/>
      <c r="MJ134" s="83"/>
      <c r="MK134" s="83"/>
      <c r="ML134" s="83"/>
      <c r="MM134" s="83"/>
      <c r="MN134" s="83"/>
      <c r="MO134" s="83"/>
      <c r="MP134" s="83"/>
      <c r="MQ134" s="83"/>
      <c r="MR134" s="83"/>
      <c r="MS134" s="83"/>
      <c r="MT134" s="83"/>
      <c r="MU134" s="83"/>
      <c r="MV134" s="83"/>
      <c r="MW134" s="83"/>
      <c r="MX134" s="83"/>
      <c r="MY134" s="83"/>
      <c r="MZ134" s="83"/>
      <c r="NA134" s="83"/>
      <c r="NB134" s="83"/>
      <c r="NC134" s="83"/>
      <c r="ND134" s="83"/>
      <c r="NE134" s="83"/>
      <c r="NF134" s="83"/>
      <c r="NG134" s="83"/>
      <c r="NH134" s="83"/>
      <c r="NI134" s="83"/>
      <c r="NJ134" s="83"/>
      <c r="NK134" s="83"/>
      <c r="NL134" s="83"/>
      <c r="NM134" s="83"/>
      <c r="NN134" s="83"/>
      <c r="NO134" s="83"/>
      <c r="NP134" s="83"/>
      <c r="NQ134" s="83"/>
      <c r="NR134" s="83"/>
      <c r="NS134" s="83"/>
      <c r="NT134" s="83"/>
      <c r="NU134" s="83"/>
      <c r="NV134" s="83"/>
      <c r="NW134" s="83"/>
      <c r="NX134" s="83"/>
      <c r="NY134" s="83"/>
      <c r="NZ134" s="83"/>
      <c r="OA134" s="83"/>
      <c r="OB134" s="83"/>
      <c r="OC134" s="83"/>
      <c r="OD134" s="83"/>
      <c r="OE134" s="83"/>
      <c r="OF134" s="83"/>
      <c r="OG134" s="83"/>
      <c r="OH134" s="83"/>
      <c r="OI134" s="83"/>
      <c r="OJ134" s="83"/>
      <c r="OK134" s="83"/>
      <c r="OL134" s="83"/>
      <c r="OM134" s="83"/>
      <c r="ON134" s="83"/>
      <c r="OO134" s="83"/>
      <c r="OP134" s="83"/>
      <c r="OQ134" s="83"/>
      <c r="OR134" s="83"/>
      <c r="OS134" s="83"/>
      <c r="OT134" s="83"/>
      <c r="OU134" s="83"/>
      <c r="OV134" s="83"/>
      <c r="OW134" s="83"/>
      <c r="OX134" s="83"/>
      <c r="OY134" s="83"/>
      <c r="OZ134" s="83"/>
      <c r="PA134" s="83"/>
      <c r="PB134" s="83"/>
      <c r="PC134" s="83"/>
      <c r="PD134" s="83"/>
      <c r="PE134" s="83"/>
      <c r="PF134" s="83"/>
      <c r="PG134" s="83"/>
      <c r="PH134" s="83"/>
      <c r="PI134" s="83"/>
      <c r="PJ134" s="83"/>
      <c r="PK134" s="83"/>
      <c r="PL134" s="83"/>
      <c r="PM134" s="83"/>
      <c r="PN134" s="83"/>
      <c r="PO134" s="83"/>
      <c r="PP134" s="83"/>
      <c r="PQ134" s="83"/>
      <c r="PR134" s="83"/>
      <c r="PS134" s="83"/>
      <c r="PT134" s="83"/>
      <c r="PU134" s="83"/>
      <c r="PV134" s="83"/>
      <c r="PW134" s="83"/>
      <c r="PX134" s="83"/>
      <c r="PY134" s="83"/>
      <c r="PZ134" s="83"/>
      <c r="QA134" s="83"/>
      <c r="QB134" s="83"/>
      <c r="QC134" s="83"/>
      <c r="QD134" s="83"/>
      <c r="QE134" s="83"/>
      <c r="QF134" s="83"/>
      <c r="QG134" s="83"/>
      <c r="QH134" s="83"/>
      <c r="QI134" s="83"/>
      <c r="QJ134" s="83"/>
      <c r="QK134" s="83"/>
      <c r="QL134" s="83"/>
      <c r="QM134" s="83"/>
      <c r="QN134" s="83"/>
      <c r="QO134" s="83"/>
      <c r="QP134" s="83"/>
      <c r="QQ134" s="83"/>
      <c r="QR134" s="83"/>
      <c r="QS134" s="83"/>
      <c r="QT134" s="83"/>
      <c r="QU134" s="83"/>
      <c r="QV134" s="83"/>
      <c r="QW134" s="83"/>
      <c r="QX134" s="83"/>
      <c r="QY134" s="83"/>
      <c r="QZ134" s="83"/>
      <c r="RA134" s="83"/>
      <c r="RB134" s="83"/>
      <c r="RC134" s="83"/>
      <c r="RD134" s="83"/>
      <c r="RE134" s="83"/>
      <c r="RF134" s="83"/>
      <c r="RG134" s="83"/>
      <c r="RH134" s="83"/>
      <c r="RI134" s="83"/>
      <c r="RJ134" s="83"/>
      <c r="RK134" s="83"/>
      <c r="RL134" s="83"/>
      <c r="RM134" s="83"/>
      <c r="RN134" s="83"/>
      <c r="RO134" s="83"/>
      <c r="RP134" s="83"/>
      <c r="RQ134" s="83"/>
      <c r="RR134" s="83"/>
      <c r="RS134" s="83"/>
      <c r="RT134" s="83"/>
      <c r="RU134" s="83"/>
      <c r="RV134" s="83"/>
      <c r="RW134" s="83"/>
      <c r="RX134" s="83"/>
      <c r="RY134" s="83"/>
      <c r="RZ134" s="83"/>
      <c r="SA134" s="83"/>
      <c r="SB134" s="83"/>
      <c r="SC134" s="83"/>
      <c r="SD134" s="83"/>
      <c r="SE134" s="83"/>
      <c r="SF134" s="83"/>
      <c r="SG134" s="83"/>
      <c r="SH134" s="83"/>
      <c r="SI134" s="83"/>
      <c r="SJ134" s="83"/>
      <c r="SK134" s="83"/>
      <c r="SL134" s="83"/>
      <c r="SM134" s="83"/>
      <c r="SN134" s="83"/>
      <c r="SO134" s="83"/>
      <c r="SP134" s="83"/>
      <c r="SQ134" s="83"/>
      <c r="SR134" s="83"/>
      <c r="SS134" s="83"/>
      <c r="ST134" s="83"/>
    </row>
    <row r="135" spans="1:514" s="376" customFormat="1" ht="27.6" customHeight="1" x14ac:dyDescent="0.25">
      <c r="A135" s="377"/>
      <c r="B135" s="373" t="s">
        <v>454</v>
      </c>
      <c r="C135" s="900"/>
      <c r="D135" s="373" t="s">
        <v>130</v>
      </c>
      <c r="E135" s="374">
        <v>17</v>
      </c>
      <c r="F135" s="374">
        <v>14</v>
      </c>
      <c r="G135" s="639">
        <v>14</v>
      </c>
      <c r="H135" s="374">
        <v>16</v>
      </c>
      <c r="I135" s="374">
        <v>16</v>
      </c>
      <c r="J135" s="375">
        <v>7263.1</v>
      </c>
      <c r="K135" s="375">
        <v>0</v>
      </c>
      <c r="L135" s="375">
        <v>0</v>
      </c>
      <c r="M135" s="375">
        <f t="shared" si="97"/>
        <v>7263.1</v>
      </c>
      <c r="N135" s="375">
        <f>G135*J135</f>
        <v>101683.4</v>
      </c>
      <c r="O135" s="375">
        <f t="shared" si="138"/>
        <v>0</v>
      </c>
      <c r="P135" s="375"/>
      <c r="Q135" s="375">
        <f t="shared" si="100"/>
        <v>0</v>
      </c>
      <c r="R135" s="375"/>
      <c r="S135" s="375"/>
      <c r="T135" s="375">
        <f>G135*J135</f>
        <v>101683.4</v>
      </c>
      <c r="U135" s="375">
        <f t="shared" si="141"/>
        <v>116209.60000000001</v>
      </c>
      <c r="V135" s="375">
        <f t="shared" si="142"/>
        <v>116209.60000000001</v>
      </c>
      <c r="AD135" s="83"/>
      <c r="AE135" s="83"/>
      <c r="AF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  <c r="BI135" s="83"/>
      <c r="BJ135" s="83"/>
      <c r="BK135" s="83"/>
      <c r="BL135" s="83"/>
      <c r="BM135" s="83"/>
      <c r="BN135" s="83"/>
      <c r="BO135" s="83"/>
      <c r="BP135" s="83"/>
      <c r="BQ135" s="83"/>
      <c r="BR135" s="83"/>
      <c r="BS135" s="83"/>
      <c r="BT135" s="83"/>
      <c r="BU135" s="83"/>
      <c r="BV135" s="83"/>
      <c r="BW135" s="83"/>
      <c r="BX135" s="83"/>
      <c r="BY135" s="83"/>
      <c r="BZ135" s="83"/>
      <c r="CA135" s="83"/>
      <c r="CB135" s="83"/>
      <c r="CC135" s="83"/>
      <c r="CD135" s="83"/>
      <c r="CE135" s="83"/>
      <c r="CF135" s="83"/>
      <c r="CG135" s="83"/>
      <c r="CH135" s="83"/>
      <c r="CI135" s="83"/>
      <c r="CJ135" s="83"/>
      <c r="CK135" s="83"/>
      <c r="CL135" s="83"/>
      <c r="CM135" s="83"/>
      <c r="CN135" s="83"/>
      <c r="CO135" s="83"/>
      <c r="CP135" s="83"/>
      <c r="CQ135" s="83"/>
      <c r="CR135" s="83"/>
      <c r="CS135" s="83"/>
      <c r="CT135" s="83"/>
      <c r="CU135" s="83"/>
      <c r="CV135" s="83"/>
      <c r="CW135" s="83"/>
      <c r="CX135" s="83"/>
      <c r="CY135" s="83"/>
      <c r="CZ135" s="83"/>
      <c r="DA135" s="83"/>
      <c r="DB135" s="83"/>
      <c r="DC135" s="83"/>
      <c r="DD135" s="83"/>
      <c r="DE135" s="83"/>
      <c r="DF135" s="83"/>
      <c r="DG135" s="83"/>
      <c r="DH135" s="83"/>
      <c r="DI135" s="83"/>
      <c r="DJ135" s="83"/>
      <c r="DK135" s="83"/>
      <c r="DL135" s="83"/>
      <c r="DM135" s="83"/>
      <c r="DN135" s="83"/>
      <c r="DO135" s="83"/>
      <c r="DP135" s="83"/>
      <c r="DQ135" s="83"/>
      <c r="DR135" s="83"/>
      <c r="DS135" s="83"/>
      <c r="DT135" s="83"/>
      <c r="DU135" s="83"/>
      <c r="DV135" s="83"/>
      <c r="DW135" s="83"/>
      <c r="DX135" s="83"/>
      <c r="DY135" s="83"/>
      <c r="DZ135" s="83"/>
      <c r="EA135" s="83"/>
      <c r="EB135" s="83"/>
      <c r="EC135" s="83"/>
      <c r="ED135" s="83"/>
      <c r="EE135" s="83"/>
      <c r="EF135" s="83"/>
      <c r="EG135" s="83"/>
      <c r="EH135" s="83"/>
      <c r="EI135" s="83"/>
      <c r="EJ135" s="83"/>
      <c r="EK135" s="83"/>
      <c r="EL135" s="83"/>
      <c r="EM135" s="83"/>
      <c r="EN135" s="83"/>
      <c r="EO135" s="83"/>
      <c r="EP135" s="83"/>
      <c r="EQ135" s="83"/>
      <c r="ER135" s="83"/>
      <c r="ES135" s="83"/>
      <c r="ET135" s="83"/>
      <c r="EU135" s="83"/>
      <c r="EV135" s="83"/>
      <c r="EW135" s="83"/>
      <c r="EX135" s="83"/>
      <c r="EY135" s="83"/>
      <c r="EZ135" s="83"/>
      <c r="FA135" s="83"/>
      <c r="FB135" s="83"/>
      <c r="FC135" s="83"/>
      <c r="FD135" s="83"/>
      <c r="FE135" s="83"/>
      <c r="FF135" s="83"/>
      <c r="FG135" s="83"/>
      <c r="FH135" s="83"/>
      <c r="FI135" s="83"/>
      <c r="FJ135" s="83"/>
      <c r="FK135" s="83"/>
      <c r="FL135" s="83"/>
      <c r="FM135" s="83"/>
      <c r="FN135" s="83"/>
      <c r="FO135" s="83"/>
      <c r="FP135" s="83"/>
      <c r="FQ135" s="83"/>
      <c r="FR135" s="83"/>
      <c r="FS135" s="83"/>
      <c r="FT135" s="83"/>
      <c r="FU135" s="83"/>
      <c r="FV135" s="83"/>
      <c r="FW135" s="83"/>
      <c r="FX135" s="83"/>
      <c r="FY135" s="83"/>
      <c r="FZ135" s="83"/>
      <c r="GA135" s="83"/>
      <c r="GB135" s="83"/>
      <c r="GC135" s="83"/>
      <c r="GD135" s="83"/>
      <c r="GE135" s="83"/>
      <c r="GF135" s="83"/>
      <c r="GG135" s="83"/>
      <c r="GH135" s="83"/>
      <c r="GI135" s="83"/>
      <c r="GJ135" s="83"/>
      <c r="GK135" s="83"/>
      <c r="GL135" s="83"/>
      <c r="GM135" s="83"/>
      <c r="GN135" s="83"/>
      <c r="GO135" s="83"/>
      <c r="GP135" s="83"/>
      <c r="GQ135" s="83"/>
      <c r="GR135" s="83"/>
      <c r="GS135" s="83"/>
      <c r="GT135" s="83"/>
      <c r="GU135" s="83"/>
      <c r="GV135" s="83"/>
      <c r="GW135" s="83"/>
      <c r="GX135" s="83"/>
      <c r="GY135" s="83"/>
      <c r="GZ135" s="83"/>
      <c r="HA135" s="83"/>
      <c r="HB135" s="83"/>
      <c r="HC135" s="83"/>
      <c r="HD135" s="83"/>
      <c r="HE135" s="83"/>
      <c r="HF135" s="83"/>
      <c r="HG135" s="83"/>
      <c r="HH135" s="83"/>
      <c r="HI135" s="83"/>
      <c r="HJ135" s="83"/>
      <c r="HK135" s="83"/>
      <c r="HL135" s="83"/>
      <c r="HM135" s="83"/>
      <c r="HN135" s="83"/>
      <c r="HO135" s="83"/>
      <c r="HP135" s="83"/>
      <c r="HQ135" s="83"/>
      <c r="HR135" s="83"/>
      <c r="HS135" s="83"/>
      <c r="HT135" s="83"/>
      <c r="HU135" s="83"/>
      <c r="HV135" s="83"/>
      <c r="HW135" s="83"/>
      <c r="HX135" s="83"/>
      <c r="HY135" s="83"/>
      <c r="HZ135" s="83"/>
      <c r="IA135" s="83"/>
      <c r="IB135" s="83"/>
      <c r="IC135" s="83"/>
      <c r="ID135" s="83"/>
      <c r="IE135" s="83"/>
      <c r="IF135" s="83"/>
      <c r="IG135" s="83"/>
      <c r="IH135" s="83"/>
      <c r="II135" s="83"/>
      <c r="IJ135" s="83"/>
      <c r="IK135" s="83"/>
      <c r="IL135" s="83"/>
      <c r="IM135" s="83"/>
      <c r="IN135" s="83"/>
      <c r="IO135" s="83"/>
      <c r="IP135" s="83"/>
      <c r="IQ135" s="83"/>
      <c r="IR135" s="83"/>
      <c r="IS135" s="83"/>
      <c r="IT135" s="83"/>
      <c r="IU135" s="83"/>
      <c r="IV135" s="83"/>
      <c r="IW135" s="83"/>
      <c r="IX135" s="83"/>
      <c r="IY135" s="83"/>
      <c r="IZ135" s="83"/>
      <c r="JA135" s="83"/>
      <c r="JB135" s="83"/>
      <c r="JC135" s="83"/>
      <c r="JD135" s="83"/>
      <c r="JE135" s="83"/>
      <c r="JF135" s="83"/>
      <c r="JG135" s="83"/>
      <c r="JH135" s="83"/>
      <c r="JI135" s="83"/>
      <c r="JJ135" s="83"/>
      <c r="JK135" s="83"/>
      <c r="JL135" s="83"/>
      <c r="JM135" s="83"/>
      <c r="JN135" s="83"/>
      <c r="JO135" s="83"/>
      <c r="JP135" s="83"/>
      <c r="JQ135" s="83"/>
      <c r="JR135" s="83"/>
      <c r="JS135" s="83"/>
      <c r="JT135" s="83"/>
      <c r="JU135" s="83"/>
      <c r="JV135" s="83"/>
      <c r="JW135" s="83"/>
      <c r="JX135" s="83"/>
      <c r="JY135" s="83"/>
      <c r="JZ135" s="83"/>
      <c r="KA135" s="83"/>
      <c r="KB135" s="83"/>
      <c r="KC135" s="83"/>
      <c r="KD135" s="83"/>
      <c r="KE135" s="83"/>
      <c r="KF135" s="83"/>
      <c r="KG135" s="83"/>
      <c r="KH135" s="83"/>
      <c r="KI135" s="83"/>
      <c r="KJ135" s="83"/>
      <c r="KK135" s="83"/>
      <c r="KL135" s="83"/>
      <c r="KM135" s="83"/>
      <c r="KN135" s="83"/>
      <c r="KO135" s="83"/>
      <c r="KP135" s="83"/>
      <c r="KQ135" s="83"/>
      <c r="KR135" s="83"/>
      <c r="KS135" s="83"/>
      <c r="KT135" s="83"/>
      <c r="KU135" s="83"/>
      <c r="KV135" s="83"/>
      <c r="KW135" s="83"/>
      <c r="KX135" s="83"/>
      <c r="KY135" s="83"/>
      <c r="KZ135" s="83"/>
      <c r="LA135" s="83"/>
      <c r="LB135" s="83"/>
      <c r="LC135" s="83"/>
      <c r="LD135" s="83"/>
      <c r="LE135" s="83"/>
      <c r="LF135" s="83"/>
      <c r="LG135" s="83"/>
      <c r="LH135" s="83"/>
      <c r="LI135" s="83"/>
      <c r="LJ135" s="83"/>
      <c r="LK135" s="83"/>
      <c r="LL135" s="83"/>
      <c r="LM135" s="83"/>
      <c r="LN135" s="83"/>
      <c r="LO135" s="83"/>
      <c r="LP135" s="83"/>
      <c r="LQ135" s="83"/>
      <c r="LR135" s="83"/>
      <c r="LS135" s="83"/>
      <c r="LT135" s="83"/>
      <c r="LU135" s="83"/>
      <c r="LV135" s="83"/>
      <c r="LW135" s="83"/>
      <c r="LX135" s="83"/>
      <c r="LY135" s="83"/>
      <c r="LZ135" s="83"/>
      <c r="MA135" s="83"/>
      <c r="MB135" s="83"/>
      <c r="MC135" s="83"/>
      <c r="MD135" s="83"/>
      <c r="ME135" s="83"/>
      <c r="MF135" s="83"/>
      <c r="MG135" s="83"/>
      <c r="MH135" s="83"/>
      <c r="MI135" s="83"/>
      <c r="MJ135" s="83"/>
      <c r="MK135" s="83"/>
      <c r="ML135" s="83"/>
      <c r="MM135" s="83"/>
      <c r="MN135" s="83"/>
      <c r="MO135" s="83"/>
      <c r="MP135" s="83"/>
      <c r="MQ135" s="83"/>
      <c r="MR135" s="83"/>
      <c r="MS135" s="83"/>
      <c r="MT135" s="83"/>
      <c r="MU135" s="83"/>
      <c r="MV135" s="83"/>
      <c r="MW135" s="83"/>
      <c r="MX135" s="83"/>
      <c r="MY135" s="83"/>
      <c r="MZ135" s="83"/>
      <c r="NA135" s="83"/>
      <c r="NB135" s="83"/>
      <c r="NC135" s="83"/>
      <c r="ND135" s="83"/>
      <c r="NE135" s="83"/>
      <c r="NF135" s="83"/>
      <c r="NG135" s="83"/>
      <c r="NH135" s="83"/>
      <c r="NI135" s="83"/>
      <c r="NJ135" s="83"/>
      <c r="NK135" s="83"/>
      <c r="NL135" s="83"/>
      <c r="NM135" s="83"/>
      <c r="NN135" s="83"/>
      <c r="NO135" s="83"/>
      <c r="NP135" s="83"/>
      <c r="NQ135" s="83"/>
      <c r="NR135" s="83"/>
      <c r="NS135" s="83"/>
      <c r="NT135" s="83"/>
      <c r="NU135" s="83"/>
      <c r="NV135" s="83"/>
      <c r="NW135" s="83"/>
      <c r="NX135" s="83"/>
      <c r="NY135" s="83"/>
      <c r="NZ135" s="83"/>
      <c r="OA135" s="83"/>
      <c r="OB135" s="83"/>
      <c r="OC135" s="83"/>
      <c r="OD135" s="83"/>
      <c r="OE135" s="83"/>
      <c r="OF135" s="83"/>
      <c r="OG135" s="83"/>
      <c r="OH135" s="83"/>
      <c r="OI135" s="83"/>
      <c r="OJ135" s="83"/>
      <c r="OK135" s="83"/>
      <c r="OL135" s="83"/>
      <c r="OM135" s="83"/>
      <c r="ON135" s="83"/>
      <c r="OO135" s="83"/>
      <c r="OP135" s="83"/>
      <c r="OQ135" s="83"/>
      <c r="OR135" s="83"/>
      <c r="OS135" s="83"/>
      <c r="OT135" s="83"/>
      <c r="OU135" s="83"/>
      <c r="OV135" s="83"/>
      <c r="OW135" s="83"/>
      <c r="OX135" s="83"/>
      <c r="OY135" s="83"/>
      <c r="OZ135" s="83"/>
      <c r="PA135" s="83"/>
      <c r="PB135" s="83"/>
      <c r="PC135" s="83"/>
      <c r="PD135" s="83"/>
      <c r="PE135" s="83"/>
      <c r="PF135" s="83"/>
      <c r="PG135" s="83"/>
      <c r="PH135" s="83"/>
      <c r="PI135" s="83"/>
      <c r="PJ135" s="83"/>
      <c r="PK135" s="83"/>
      <c r="PL135" s="83"/>
      <c r="PM135" s="83"/>
      <c r="PN135" s="83"/>
      <c r="PO135" s="83"/>
      <c r="PP135" s="83"/>
      <c r="PQ135" s="83"/>
      <c r="PR135" s="83"/>
      <c r="PS135" s="83"/>
      <c r="PT135" s="83"/>
      <c r="PU135" s="83"/>
      <c r="PV135" s="83"/>
      <c r="PW135" s="83"/>
      <c r="PX135" s="83"/>
      <c r="PY135" s="83"/>
      <c r="PZ135" s="83"/>
      <c r="QA135" s="83"/>
      <c r="QB135" s="83"/>
      <c r="QC135" s="83"/>
      <c r="QD135" s="83"/>
      <c r="QE135" s="83"/>
      <c r="QF135" s="83"/>
      <c r="QG135" s="83"/>
      <c r="QH135" s="83"/>
      <c r="QI135" s="83"/>
      <c r="QJ135" s="83"/>
      <c r="QK135" s="83"/>
      <c r="QL135" s="83"/>
      <c r="QM135" s="83"/>
      <c r="QN135" s="83"/>
      <c r="QO135" s="83"/>
      <c r="QP135" s="83"/>
      <c r="QQ135" s="83"/>
      <c r="QR135" s="83"/>
      <c r="QS135" s="83"/>
      <c r="QT135" s="83"/>
      <c r="QU135" s="83"/>
      <c r="QV135" s="83"/>
      <c r="QW135" s="83"/>
      <c r="QX135" s="83"/>
      <c r="QY135" s="83"/>
      <c r="QZ135" s="83"/>
      <c r="RA135" s="83"/>
      <c r="RB135" s="83"/>
      <c r="RC135" s="83"/>
      <c r="RD135" s="83"/>
      <c r="RE135" s="83"/>
      <c r="RF135" s="83"/>
      <c r="RG135" s="83"/>
      <c r="RH135" s="83"/>
      <c r="RI135" s="83"/>
      <c r="RJ135" s="83"/>
      <c r="RK135" s="83"/>
      <c r="RL135" s="83"/>
      <c r="RM135" s="83"/>
      <c r="RN135" s="83"/>
      <c r="RO135" s="83"/>
      <c r="RP135" s="83"/>
      <c r="RQ135" s="83"/>
      <c r="RR135" s="83"/>
      <c r="RS135" s="83"/>
      <c r="RT135" s="83"/>
      <c r="RU135" s="83"/>
      <c r="RV135" s="83"/>
      <c r="RW135" s="83"/>
      <c r="RX135" s="83"/>
      <c r="RY135" s="83"/>
      <c r="RZ135" s="83"/>
      <c r="SA135" s="83"/>
      <c r="SB135" s="83"/>
      <c r="SC135" s="83"/>
      <c r="SD135" s="83"/>
      <c r="SE135" s="83"/>
      <c r="SF135" s="83"/>
      <c r="SG135" s="83"/>
      <c r="SH135" s="83"/>
      <c r="SI135" s="83"/>
      <c r="SJ135" s="83"/>
      <c r="SK135" s="83"/>
      <c r="SL135" s="83"/>
      <c r="SM135" s="83"/>
      <c r="SN135" s="83"/>
      <c r="SO135" s="83"/>
      <c r="SP135" s="83"/>
      <c r="SQ135" s="83"/>
      <c r="SR135" s="83"/>
      <c r="SS135" s="83"/>
      <c r="ST135" s="83"/>
    </row>
    <row r="136" spans="1:514" ht="62.4" customHeight="1" x14ac:dyDescent="0.25">
      <c r="A136" s="92" t="s">
        <v>132</v>
      </c>
      <c r="B136" s="97" t="s">
        <v>133</v>
      </c>
      <c r="C136" s="97" t="s">
        <v>54</v>
      </c>
      <c r="D136" s="629" t="s">
        <v>130</v>
      </c>
      <c r="E136" s="104">
        <f>E107+E108+E113+E118+E119+E123+E109+E112+E114+E116+E117+E121+E120</f>
        <v>115</v>
      </c>
      <c r="F136" s="104">
        <f>F107+F108+F113+F118+F119+F123+F109+F112+F114+F116+F117+F121+F120+F111+F110+F115</f>
        <v>101</v>
      </c>
      <c r="G136" s="104">
        <f>G107+G108+G113+G118+G119+G123+G109+G112+G114+G116+G117+G121+G120+G115+G110+G111+G122</f>
        <v>101</v>
      </c>
      <c r="H136" s="104">
        <f>H107+H108+H113+H118+H119+H123+H109+H112+H114+H116+H117+H121+H120+H115+H110+H111+H122</f>
        <v>101</v>
      </c>
      <c r="I136" s="104">
        <f>I107+I108+I113+I118+I119+I123+I109+I112+I114+I116+I117+I121+I120+I115+I110+I111+I122</f>
        <v>101</v>
      </c>
      <c r="J136" s="99">
        <v>0</v>
      </c>
      <c r="K136" s="98">
        <v>0</v>
      </c>
      <c r="L136" s="101">
        <f>61511.06</f>
        <v>61511.06</v>
      </c>
      <c r="M136" s="98">
        <f t="shared" si="97"/>
        <v>61511.06</v>
      </c>
      <c r="N136" s="98">
        <v>0</v>
      </c>
      <c r="O136" s="98">
        <f>G136*K136</f>
        <v>0</v>
      </c>
      <c r="P136" s="109"/>
      <c r="Q136" s="107">
        <f>G136*L136</f>
        <v>6212617.0599999996</v>
      </c>
      <c r="R136" s="99"/>
      <c r="S136" s="99"/>
      <c r="T136" s="102">
        <f>Q136</f>
        <v>6212617.0599999996</v>
      </c>
      <c r="U136" s="98">
        <f>H136*L136</f>
        <v>6212617.0599999996</v>
      </c>
      <c r="V136" s="98">
        <f>I136*L136</f>
        <v>6212617.0599999996</v>
      </c>
    </row>
    <row r="137" spans="1:514" ht="28.2" customHeight="1" x14ac:dyDescent="0.25">
      <c r="A137" s="580" t="s">
        <v>620</v>
      </c>
      <c r="B137" s="97" t="s">
        <v>133</v>
      </c>
      <c r="C137" s="97" t="s">
        <v>134</v>
      </c>
      <c r="D137" s="629"/>
      <c r="E137" s="109"/>
      <c r="F137" s="104"/>
      <c r="G137" s="113">
        <f>G136</f>
        <v>101</v>
      </c>
      <c r="H137" s="113">
        <f t="shared" ref="H137" si="151">H136</f>
        <v>101</v>
      </c>
      <c r="I137" s="113">
        <f>I136</f>
        <v>101</v>
      </c>
      <c r="J137" s="99"/>
      <c r="K137" s="98"/>
      <c r="L137" s="101">
        <v>20437.68</v>
      </c>
      <c r="M137" s="98">
        <f t="shared" si="97"/>
        <v>20437.68</v>
      </c>
      <c r="N137" s="98">
        <v>0</v>
      </c>
      <c r="O137" s="98"/>
      <c r="P137" s="109"/>
      <c r="Q137" s="99"/>
      <c r="R137" s="99"/>
      <c r="S137" s="107">
        <f>G137*L137</f>
        <v>2064205.68</v>
      </c>
      <c r="T137" s="102">
        <f>S137</f>
        <v>2064205.68</v>
      </c>
      <c r="U137" s="98">
        <f>H137*L137</f>
        <v>2064205.68</v>
      </c>
      <c r="V137" s="98">
        <f>I137*L137</f>
        <v>2064205.68</v>
      </c>
    </row>
    <row r="138" spans="1:514" ht="24" customHeight="1" x14ac:dyDescent="0.25">
      <c r="A138" s="872" t="s">
        <v>631</v>
      </c>
      <c r="B138" s="834" t="s">
        <v>512</v>
      </c>
      <c r="C138" s="97"/>
      <c r="D138" s="19" t="s">
        <v>24</v>
      </c>
      <c r="E138" s="104"/>
      <c r="F138" s="104">
        <v>30</v>
      </c>
      <c r="G138" s="104">
        <v>30</v>
      </c>
      <c r="H138" s="104">
        <f>30-30</f>
        <v>0</v>
      </c>
      <c r="I138" s="104">
        <f>30-30</f>
        <v>0</v>
      </c>
      <c r="J138" s="99"/>
      <c r="K138" s="99"/>
      <c r="L138" s="101"/>
      <c r="M138" s="99"/>
      <c r="N138" s="99">
        <v>0</v>
      </c>
      <c r="O138" s="99"/>
      <c r="P138" s="104"/>
      <c r="Q138" s="99"/>
      <c r="R138" s="99"/>
      <c r="S138" s="99"/>
      <c r="T138" s="99">
        <f t="shared" ref="T138:T143" si="152">SUM(N138:Q138)</f>
        <v>0</v>
      </c>
      <c r="U138" s="99"/>
      <c r="V138" s="99"/>
    </row>
    <row r="139" spans="1:514" ht="38.4" customHeight="1" x14ac:dyDescent="0.25">
      <c r="A139" s="873"/>
      <c r="B139" s="835"/>
      <c r="C139" s="97" t="s">
        <v>633</v>
      </c>
      <c r="D139" s="410" t="s">
        <v>232</v>
      </c>
      <c r="E139" s="104">
        <v>0</v>
      </c>
      <c r="F139" s="104">
        <f>36*F138</f>
        <v>1080</v>
      </c>
      <c r="G139" s="113">
        <f>14*1*G138</f>
        <v>420</v>
      </c>
      <c r="H139" s="104">
        <v>0</v>
      </c>
      <c r="I139" s="104">
        <v>0</v>
      </c>
      <c r="J139" s="101">
        <v>341.23</v>
      </c>
      <c r="K139" s="99"/>
      <c r="L139" s="101"/>
      <c r="M139" s="99">
        <f>J139+K139+L139</f>
        <v>341.23</v>
      </c>
      <c r="N139" s="101">
        <f>G139*J139-263.85-527.7</f>
        <v>142525.04999999999</v>
      </c>
      <c r="O139" s="99"/>
      <c r="P139" s="104"/>
      <c r="Q139" s="99"/>
      <c r="R139" s="99"/>
      <c r="S139" s="99"/>
      <c r="T139" s="101">
        <f t="shared" si="152"/>
        <v>142525.04999999999</v>
      </c>
      <c r="U139" s="99">
        <f>H139*J139</f>
        <v>0</v>
      </c>
      <c r="V139" s="99">
        <f>I139*J139</f>
        <v>0</v>
      </c>
    </row>
    <row r="140" spans="1:514" ht="24.6" customHeight="1" x14ac:dyDescent="0.25">
      <c r="A140" s="872" t="s">
        <v>632</v>
      </c>
      <c r="B140" s="834" t="s">
        <v>512</v>
      </c>
      <c r="C140" s="97"/>
      <c r="D140" s="19" t="s">
        <v>24</v>
      </c>
      <c r="E140" s="104"/>
      <c r="F140" s="104">
        <v>30</v>
      </c>
      <c r="G140" s="674">
        <v>7</v>
      </c>
      <c r="H140" s="674">
        <v>7</v>
      </c>
      <c r="I140" s="104">
        <v>0</v>
      </c>
      <c r="J140" s="105"/>
      <c r="K140" s="99"/>
      <c r="L140" s="101"/>
      <c r="M140" s="99"/>
      <c r="N140" s="99">
        <v>0</v>
      </c>
      <c r="O140" s="99"/>
      <c r="P140" s="104"/>
      <c r="Q140" s="99"/>
      <c r="R140" s="99"/>
      <c r="S140" s="105"/>
      <c r="T140" s="99">
        <f t="shared" si="152"/>
        <v>0</v>
      </c>
      <c r="U140" s="105"/>
      <c r="V140" s="105"/>
    </row>
    <row r="141" spans="1:514" ht="31.95" customHeight="1" x14ac:dyDescent="0.25">
      <c r="A141" s="873"/>
      <c r="B141" s="835"/>
      <c r="C141" s="92" t="s">
        <v>636</v>
      </c>
      <c r="D141" s="410" t="s">
        <v>232</v>
      </c>
      <c r="E141" s="104">
        <v>0</v>
      </c>
      <c r="F141" s="104">
        <f>36*F140</f>
        <v>1080</v>
      </c>
      <c r="G141" s="108">
        <f>16*1*G140</f>
        <v>112</v>
      </c>
      <c r="H141" s="108">
        <f>18*1*H140</f>
        <v>126</v>
      </c>
      <c r="I141" s="104">
        <v>0</v>
      </c>
      <c r="J141" s="107">
        <v>341.3</v>
      </c>
      <c r="K141" s="99"/>
      <c r="L141" s="101"/>
      <c r="M141" s="99">
        <f>J141+K141+L141</f>
        <v>341.3</v>
      </c>
      <c r="N141" s="107">
        <f>G141*J141+629.2</f>
        <v>38854.800000000003</v>
      </c>
      <c r="O141" s="99"/>
      <c r="P141" s="104"/>
      <c r="Q141" s="99"/>
      <c r="R141" s="99"/>
      <c r="S141" s="105"/>
      <c r="T141" s="107">
        <f t="shared" si="152"/>
        <v>38854.800000000003</v>
      </c>
      <c r="U141" s="107">
        <f>H141*J141+409.57</f>
        <v>43413.37</v>
      </c>
      <c r="V141" s="99">
        <f>I141*J141</f>
        <v>0</v>
      </c>
    </row>
    <row r="142" spans="1:514" ht="24.6" customHeight="1" x14ac:dyDescent="0.25">
      <c r="A142" s="872" t="s">
        <v>643</v>
      </c>
      <c r="B142" s="834" t="s">
        <v>512</v>
      </c>
      <c r="C142" s="97"/>
      <c r="D142" s="19" t="s">
        <v>24</v>
      </c>
      <c r="E142" s="104"/>
      <c r="F142" s="104">
        <v>30</v>
      </c>
      <c r="G142" s="674">
        <v>10</v>
      </c>
      <c r="H142" s="674">
        <v>10</v>
      </c>
      <c r="I142" s="104">
        <v>0</v>
      </c>
      <c r="J142" s="105"/>
      <c r="K142" s="99"/>
      <c r="L142" s="101"/>
      <c r="M142" s="99"/>
      <c r="N142" s="99">
        <v>0</v>
      </c>
      <c r="O142" s="99"/>
      <c r="P142" s="104"/>
      <c r="Q142" s="99"/>
      <c r="R142" s="99"/>
      <c r="S142" s="105"/>
      <c r="T142" s="99">
        <f t="shared" si="152"/>
        <v>0</v>
      </c>
      <c r="U142" s="105"/>
      <c r="V142" s="99"/>
    </row>
    <row r="143" spans="1:514" ht="34.950000000000003" customHeight="1" x14ac:dyDescent="0.25">
      <c r="A143" s="873"/>
      <c r="B143" s="835"/>
      <c r="C143" s="92" t="s">
        <v>636</v>
      </c>
      <c r="D143" s="410" t="s">
        <v>232</v>
      </c>
      <c r="E143" s="104">
        <v>0</v>
      </c>
      <c r="F143" s="104">
        <f>36*F142</f>
        <v>1080</v>
      </c>
      <c r="G143" s="108">
        <f>16*1*G142</f>
        <v>160</v>
      </c>
      <c r="H143" s="108">
        <f>20*1*H142</f>
        <v>200</v>
      </c>
      <c r="I143" s="104">
        <v>0</v>
      </c>
      <c r="J143" s="107">
        <v>341.25</v>
      </c>
      <c r="K143" s="99"/>
      <c r="L143" s="101"/>
      <c r="M143" s="99">
        <f>J143+K143+L143</f>
        <v>341.25</v>
      </c>
      <c r="N143" s="107">
        <f>G143*J143+629.2</f>
        <v>55229.2</v>
      </c>
      <c r="O143" s="99"/>
      <c r="P143" s="104"/>
      <c r="Q143" s="99"/>
      <c r="R143" s="99"/>
      <c r="S143" s="105"/>
      <c r="T143" s="107">
        <f t="shared" si="152"/>
        <v>55229.2</v>
      </c>
      <c r="U143" s="107">
        <f>H143*J143+409.57</f>
        <v>68659.570000000007</v>
      </c>
      <c r="V143" s="99">
        <f>I143*J143</f>
        <v>0</v>
      </c>
    </row>
    <row r="144" spans="1:514" ht="26.4" customHeight="1" x14ac:dyDescent="0.25">
      <c r="A144" s="874" t="s">
        <v>648</v>
      </c>
      <c r="B144" s="875"/>
      <c r="C144" s="876"/>
      <c r="D144" s="734" t="s">
        <v>24</v>
      </c>
      <c r="E144" s="735"/>
      <c r="F144" s="735"/>
      <c r="G144" s="736">
        <f t="shared" ref="G144:I145" si="153">G138+G140+G142</f>
        <v>47</v>
      </c>
      <c r="H144" s="736">
        <f t="shared" si="153"/>
        <v>17</v>
      </c>
      <c r="I144" s="735">
        <f t="shared" si="153"/>
        <v>0</v>
      </c>
      <c r="J144" s="737"/>
      <c r="K144" s="738"/>
      <c r="L144" s="739"/>
      <c r="M144" s="738"/>
      <c r="N144" s="737"/>
      <c r="O144" s="738"/>
      <c r="P144" s="735"/>
      <c r="Q144" s="738"/>
      <c r="R144" s="738"/>
      <c r="S144" s="740"/>
      <c r="T144" s="737"/>
      <c r="U144" s="737"/>
      <c r="V144" s="738"/>
    </row>
    <row r="145" spans="1:29" ht="28.2" customHeight="1" x14ac:dyDescent="0.25">
      <c r="A145" s="877"/>
      <c r="B145" s="878"/>
      <c r="C145" s="879"/>
      <c r="D145" s="741" t="s">
        <v>232</v>
      </c>
      <c r="E145" s="735"/>
      <c r="F145" s="735">
        <v>30</v>
      </c>
      <c r="G145" s="736">
        <f t="shared" si="153"/>
        <v>692</v>
      </c>
      <c r="H145" s="736">
        <f t="shared" si="153"/>
        <v>326</v>
      </c>
      <c r="I145" s="735">
        <f t="shared" si="153"/>
        <v>0</v>
      </c>
      <c r="J145" s="740" t="s">
        <v>26</v>
      </c>
      <c r="K145" s="738" t="s">
        <v>26</v>
      </c>
      <c r="L145" s="739" t="s">
        <v>26</v>
      </c>
      <c r="M145" s="738"/>
      <c r="N145" s="737">
        <f>N139+N141+N143</f>
        <v>236609.05</v>
      </c>
      <c r="O145" s="738"/>
      <c r="P145" s="735"/>
      <c r="Q145" s="738"/>
      <c r="R145" s="738"/>
      <c r="S145" s="740"/>
      <c r="T145" s="737">
        <f>SUM(N145:S145)</f>
        <v>236609.05</v>
      </c>
      <c r="U145" s="737">
        <f>U139+U141+U143</f>
        <v>112072.94</v>
      </c>
      <c r="V145" s="738">
        <f>V139+V141+V143</f>
        <v>0</v>
      </c>
    </row>
    <row r="146" spans="1:29" ht="21.6" customHeight="1" x14ac:dyDescent="0.25">
      <c r="A146" s="96" t="s">
        <v>147</v>
      </c>
      <c r="B146" s="96"/>
      <c r="C146" s="96"/>
      <c r="D146" s="111"/>
      <c r="E146" s="112"/>
      <c r="F146" s="113"/>
      <c r="G146" s="113"/>
      <c r="H146" s="112"/>
      <c r="I146" s="112"/>
      <c r="J146" s="101"/>
      <c r="K146" s="98"/>
      <c r="L146" s="101"/>
      <c r="M146" s="98">
        <f t="shared" si="97"/>
        <v>0</v>
      </c>
      <c r="N146" s="101">
        <f>N147</f>
        <v>18504439.219999999</v>
      </c>
      <c r="O146" s="101">
        <f>O147</f>
        <v>7256138.3399999999</v>
      </c>
      <c r="P146" s="101"/>
      <c r="Q146" s="805">
        <f>Q147+Q155</f>
        <v>16064824.800000001</v>
      </c>
      <c r="R146" s="101"/>
      <c r="S146" s="101">
        <f>S156</f>
        <v>2452521.6</v>
      </c>
      <c r="T146" s="101">
        <f>T147+T155+T156</f>
        <v>44277923.960000001</v>
      </c>
      <c r="U146" s="102">
        <f>U147+U155+U156</f>
        <v>44277923.960000001</v>
      </c>
      <c r="V146" s="102">
        <f>V147+V155+V156</f>
        <v>44277923.960000001</v>
      </c>
      <c r="W146" s="83">
        <v>6916925.5300000003</v>
      </c>
      <c r="X146" s="93">
        <f>W146-Q146</f>
        <v>-9147899.2699999996</v>
      </c>
      <c r="Y146" s="83">
        <f>X146/G155</f>
        <v>-76232.493916666703</v>
      </c>
      <c r="AA146" s="83">
        <v>6466219.5300000003</v>
      </c>
      <c r="AB146" s="93">
        <f>AA146-Q146</f>
        <v>-9598605.2699999996</v>
      </c>
      <c r="AC146" s="83">
        <f>AB146/I155</f>
        <v>-79988.377250000005</v>
      </c>
    </row>
    <row r="147" spans="1:29" ht="73.95" customHeight="1" x14ac:dyDescent="0.25">
      <c r="A147" s="92" t="s">
        <v>127</v>
      </c>
      <c r="B147" s="87" t="s">
        <v>128</v>
      </c>
      <c r="C147" s="87"/>
      <c r="D147" s="629"/>
      <c r="E147" s="109"/>
      <c r="F147" s="104"/>
      <c r="G147" s="104"/>
      <c r="H147" s="109"/>
      <c r="I147" s="109"/>
      <c r="J147" s="99"/>
      <c r="K147" s="98"/>
      <c r="L147" s="99"/>
      <c r="M147" s="98"/>
      <c r="N147" s="98">
        <f>SUM(N148:N154)</f>
        <v>18504439.219999999</v>
      </c>
      <c r="O147" s="98">
        <f>SUM(O148:O154)</f>
        <v>7256138.3399999999</v>
      </c>
      <c r="P147" s="98"/>
      <c r="Q147" s="101">
        <f>SUM(Q148:Q154)</f>
        <v>8683497.5999999996</v>
      </c>
      <c r="R147" s="99"/>
      <c r="S147" s="99"/>
      <c r="T147" s="102">
        <f>SUM(T148:T154)</f>
        <v>34444075.159999996</v>
      </c>
      <c r="U147" s="98">
        <f>SUM(U148:U154)</f>
        <v>34444075.159999996</v>
      </c>
      <c r="V147" s="98">
        <f>SUM(V148:V154)</f>
        <v>34444075.159999996</v>
      </c>
      <c r="W147" s="83">
        <v>17989534.530000001</v>
      </c>
      <c r="AA147" s="93">
        <f>17989534.53+U156</f>
        <v>20442056.129999999</v>
      </c>
      <c r="AB147" s="93">
        <f>U146-AA147</f>
        <v>23835867.829999998</v>
      </c>
    </row>
    <row r="148" spans="1:29" ht="103.2" customHeight="1" x14ac:dyDescent="0.25">
      <c r="A148" s="92"/>
      <c r="B148" s="97" t="s">
        <v>129</v>
      </c>
      <c r="C148" s="92" t="s">
        <v>300</v>
      </c>
      <c r="D148" s="629" t="s">
        <v>130</v>
      </c>
      <c r="E148" s="104">
        <f>18-18</f>
        <v>0</v>
      </c>
      <c r="F148" s="104">
        <f>18-18</f>
        <v>0</v>
      </c>
      <c r="G148" s="104">
        <v>0</v>
      </c>
      <c r="H148" s="104">
        <v>0</v>
      </c>
      <c r="I148" s="104">
        <v>0</v>
      </c>
      <c r="J148" s="99">
        <v>86493.99</v>
      </c>
      <c r="K148" s="98">
        <f>33955.33+10788.57</f>
        <v>44743.9</v>
      </c>
      <c r="L148" s="101">
        <v>72362.48</v>
      </c>
      <c r="M148" s="98">
        <f t="shared" si="97"/>
        <v>203600.37</v>
      </c>
      <c r="N148" s="98">
        <f>G148*J148</f>
        <v>0</v>
      </c>
      <c r="O148" s="99">
        <f>G148*K148</f>
        <v>0</v>
      </c>
      <c r="P148" s="117"/>
      <c r="Q148" s="99">
        <f>G148*L148</f>
        <v>0</v>
      </c>
      <c r="R148" s="99"/>
      <c r="S148" s="99"/>
      <c r="T148" s="98">
        <f>SUM(N148:Q148)</f>
        <v>0</v>
      </c>
      <c r="U148" s="98">
        <f t="shared" ref="U148:V154" si="154">T148</f>
        <v>0</v>
      </c>
      <c r="V148" s="98">
        <f t="shared" si="154"/>
        <v>0</v>
      </c>
      <c r="W148" s="93"/>
      <c r="X148" s="93">
        <f>W147-U146</f>
        <v>-26288389.43</v>
      </c>
    </row>
    <row r="149" spans="1:29" ht="103.2" customHeight="1" x14ac:dyDescent="0.25">
      <c r="A149" s="92"/>
      <c r="B149" s="97" t="s">
        <v>332</v>
      </c>
      <c r="C149" s="784" t="s">
        <v>518</v>
      </c>
      <c r="D149" s="629" t="s">
        <v>130</v>
      </c>
      <c r="E149" s="104">
        <v>21</v>
      </c>
      <c r="F149" s="579">
        <v>22</v>
      </c>
      <c r="G149" s="104">
        <v>16</v>
      </c>
      <c r="H149" s="104">
        <v>16</v>
      </c>
      <c r="I149" s="104">
        <v>16</v>
      </c>
      <c r="J149" s="99">
        <v>245948.56</v>
      </c>
      <c r="K149" s="98">
        <f>64533.72+18402.51*2</f>
        <v>101338.74</v>
      </c>
      <c r="L149" s="101">
        <v>72362.48</v>
      </c>
      <c r="M149" s="98">
        <f t="shared" ref="M149" si="155">J149+K149+L149</f>
        <v>419649.78</v>
      </c>
      <c r="N149" s="98">
        <f>G149*J149</f>
        <v>3935176.96</v>
      </c>
      <c r="O149" s="99">
        <f>G149*K149</f>
        <v>1621419.84</v>
      </c>
      <c r="P149" s="109"/>
      <c r="Q149" s="764">
        <f>G149*L149</f>
        <v>1157799.68</v>
      </c>
      <c r="R149" s="99"/>
      <c r="S149" s="99"/>
      <c r="T149" s="765">
        <f>SUM(N149:Q149)</f>
        <v>6714396.4800000004</v>
      </c>
      <c r="U149" s="98">
        <f t="shared" ref="U149" si="156">T149</f>
        <v>6714396.4800000004</v>
      </c>
      <c r="V149" s="98">
        <f t="shared" ref="V149" si="157">U149</f>
        <v>6714396.4800000004</v>
      </c>
      <c r="W149" s="93"/>
      <c r="X149" s="93"/>
    </row>
    <row r="150" spans="1:29" ht="31.2" customHeight="1" x14ac:dyDescent="0.25">
      <c r="A150" s="92"/>
      <c r="B150" s="97" t="s">
        <v>332</v>
      </c>
      <c r="C150" s="872" t="s">
        <v>606</v>
      </c>
      <c r="D150" s="629" t="s">
        <v>130</v>
      </c>
      <c r="E150" s="104">
        <v>21</v>
      </c>
      <c r="F150" s="579">
        <v>22</v>
      </c>
      <c r="G150" s="104">
        <f>15-2</f>
        <v>13</v>
      </c>
      <c r="H150" s="104">
        <f>13</f>
        <v>13</v>
      </c>
      <c r="I150" s="104">
        <f>13</f>
        <v>13</v>
      </c>
      <c r="J150" s="99">
        <v>132713.06</v>
      </c>
      <c r="K150" s="98">
        <f>32326.86+18402.51</f>
        <v>50729.37</v>
      </c>
      <c r="L150" s="101">
        <v>72362.48</v>
      </c>
      <c r="M150" s="98">
        <f t="shared" si="97"/>
        <v>255804.91</v>
      </c>
      <c r="N150" s="98">
        <f>G150*J150</f>
        <v>1725269.78</v>
      </c>
      <c r="O150" s="99">
        <f>G150*K150</f>
        <v>659481.81000000006</v>
      </c>
      <c r="P150" s="109"/>
      <c r="Q150" s="764">
        <f>G150*L150</f>
        <v>940712.24</v>
      </c>
      <c r="R150" s="99"/>
      <c r="S150" s="99"/>
      <c r="T150" s="765">
        <f>SUM(N150:Q150)</f>
        <v>3325463.83</v>
      </c>
      <c r="U150" s="98">
        <f t="shared" si="154"/>
        <v>3325463.83</v>
      </c>
      <c r="V150" s="98">
        <f t="shared" si="154"/>
        <v>3325463.83</v>
      </c>
    </row>
    <row r="151" spans="1:29" ht="30.6" customHeight="1" x14ac:dyDescent="0.25">
      <c r="A151" s="92"/>
      <c r="B151" s="97" t="s">
        <v>129</v>
      </c>
      <c r="C151" s="901"/>
      <c r="D151" s="629" t="s">
        <v>130</v>
      </c>
      <c r="E151" s="104">
        <v>16</v>
      </c>
      <c r="F151" s="579">
        <v>16</v>
      </c>
      <c r="G151" s="104">
        <v>18</v>
      </c>
      <c r="H151" s="104">
        <f>19-1</f>
        <v>18</v>
      </c>
      <c r="I151" s="104">
        <f>19-1</f>
        <v>18</v>
      </c>
      <c r="J151" s="99">
        <v>175329.95</v>
      </c>
      <c r="K151" s="98">
        <f>43062.49+18402.51*1.5</f>
        <v>70666.259999999995</v>
      </c>
      <c r="L151" s="101">
        <v>72362.48</v>
      </c>
      <c r="M151" s="98">
        <f t="shared" si="97"/>
        <v>318358.69</v>
      </c>
      <c r="N151" s="98">
        <f t="shared" ref="N151" si="158">G151*J151</f>
        <v>3155939.1</v>
      </c>
      <c r="O151" s="99">
        <f>G151*K151</f>
        <v>1271992.68</v>
      </c>
      <c r="P151" s="109"/>
      <c r="Q151" s="99">
        <f t="shared" ref="Q151" si="159">G151*L151</f>
        <v>1302524.6399999999</v>
      </c>
      <c r="R151" s="99"/>
      <c r="S151" s="99"/>
      <c r="T151" s="98">
        <f t="shared" ref="T151:T154" si="160">SUM(N151:Q151)</f>
        <v>5730456.4199999999</v>
      </c>
      <c r="U151" s="98">
        <f t="shared" si="154"/>
        <v>5730456.4199999999</v>
      </c>
      <c r="V151" s="98">
        <f t="shared" si="154"/>
        <v>5730456.4199999999</v>
      </c>
    </row>
    <row r="152" spans="1:29" ht="30.6" customHeight="1" x14ac:dyDescent="0.25">
      <c r="A152" s="92"/>
      <c r="B152" s="97" t="s">
        <v>129</v>
      </c>
      <c r="C152" s="901"/>
      <c r="D152" s="629" t="s">
        <v>130</v>
      </c>
      <c r="E152" s="104"/>
      <c r="F152" s="579"/>
      <c r="G152" s="104">
        <v>1</v>
      </c>
      <c r="H152" s="104">
        <v>1</v>
      </c>
      <c r="I152" s="104">
        <v>1</v>
      </c>
      <c r="J152" s="99">
        <v>132713.06</v>
      </c>
      <c r="K152" s="98">
        <f>32326.86+18402.51</f>
        <v>50729.37</v>
      </c>
      <c r="L152" s="101">
        <v>72362.48</v>
      </c>
      <c r="M152" s="98">
        <f t="shared" ref="M152" si="161">J152+K152+L152</f>
        <v>255804.91</v>
      </c>
      <c r="N152" s="98">
        <f>G152*J152</f>
        <v>132713.06</v>
      </c>
      <c r="O152" s="98">
        <f t="shared" ref="O152" si="162">G152*K152</f>
        <v>50729.37</v>
      </c>
      <c r="P152" s="109"/>
      <c r="Q152" s="764">
        <f>G152*L152</f>
        <v>72362.48</v>
      </c>
      <c r="R152" s="99"/>
      <c r="S152" s="99"/>
      <c r="T152" s="98">
        <f>SUM(N152:Q152)</f>
        <v>255804.91</v>
      </c>
      <c r="U152" s="98">
        <f>T152</f>
        <v>255804.91</v>
      </c>
      <c r="V152" s="98">
        <f>U152</f>
        <v>255804.91</v>
      </c>
    </row>
    <row r="153" spans="1:29" ht="31.95" customHeight="1" x14ac:dyDescent="0.25">
      <c r="A153" s="481" t="s">
        <v>576</v>
      </c>
      <c r="B153" s="97" t="s">
        <v>332</v>
      </c>
      <c r="C153" s="903"/>
      <c r="D153" s="629" t="s">
        <v>130</v>
      </c>
      <c r="E153" s="104">
        <v>2</v>
      </c>
      <c r="F153" s="579">
        <v>1</v>
      </c>
      <c r="G153" s="113">
        <v>2</v>
      </c>
      <c r="H153" s="113">
        <v>2</v>
      </c>
      <c r="I153" s="113">
        <v>2</v>
      </c>
      <c r="J153" s="99">
        <v>132713.06</v>
      </c>
      <c r="K153" s="98">
        <f>32326.86+18402.51</f>
        <v>50729.37</v>
      </c>
      <c r="L153" s="101">
        <v>72362.48</v>
      </c>
      <c r="M153" s="98">
        <f t="shared" si="97"/>
        <v>255804.91</v>
      </c>
      <c r="N153" s="98">
        <f>G153*J153</f>
        <v>265426.12</v>
      </c>
      <c r="O153" s="98">
        <f t="shared" ref="O153" si="163">G153*K153</f>
        <v>101458.74</v>
      </c>
      <c r="P153" s="109"/>
      <c r="Q153" s="99">
        <f>G153*L153</f>
        <v>144724.96</v>
      </c>
      <c r="R153" s="99"/>
      <c r="S153" s="99"/>
      <c r="T153" s="98">
        <f>SUM(N153:Q153)</f>
        <v>511609.82</v>
      </c>
      <c r="U153" s="98">
        <f>T153</f>
        <v>511609.82</v>
      </c>
      <c r="V153" s="98">
        <f>U153</f>
        <v>511609.82</v>
      </c>
    </row>
    <row r="154" spans="1:29" ht="28.95" customHeight="1" x14ac:dyDescent="0.25">
      <c r="A154" s="97"/>
      <c r="B154" s="97" t="s">
        <v>330</v>
      </c>
      <c r="C154" s="884"/>
      <c r="D154" s="629" t="s">
        <v>130</v>
      </c>
      <c r="E154" s="104">
        <v>89</v>
      </c>
      <c r="F154" s="579">
        <v>80</v>
      </c>
      <c r="G154" s="104">
        <f>86-16</f>
        <v>70</v>
      </c>
      <c r="H154" s="104">
        <f t="shared" ref="H154:I154" si="164">86-16</f>
        <v>70</v>
      </c>
      <c r="I154" s="104">
        <f t="shared" si="164"/>
        <v>70</v>
      </c>
      <c r="J154" s="99">
        <f>95705.64+37007.42</f>
        <v>132713.06</v>
      </c>
      <c r="K154" s="98">
        <f>32326.86+18402.51</f>
        <v>50729.37</v>
      </c>
      <c r="L154" s="101">
        <v>72362.48</v>
      </c>
      <c r="M154" s="98">
        <f t="shared" si="97"/>
        <v>255804.91</v>
      </c>
      <c r="N154" s="98">
        <f>G154*J154</f>
        <v>9289914.1999999993</v>
      </c>
      <c r="O154" s="101">
        <f>G154*K154</f>
        <v>3551055.9</v>
      </c>
      <c r="P154" s="117"/>
      <c r="Q154" s="99">
        <f>G154*L154</f>
        <v>5065373.5999999996</v>
      </c>
      <c r="R154" s="99"/>
      <c r="S154" s="99"/>
      <c r="T154" s="98">
        <f t="shared" si="160"/>
        <v>17906343.699999999</v>
      </c>
      <c r="U154" s="98">
        <f t="shared" si="154"/>
        <v>17906343.699999999</v>
      </c>
      <c r="V154" s="98">
        <f t="shared" si="154"/>
        <v>17906343.699999999</v>
      </c>
    </row>
    <row r="155" spans="1:29" ht="61.95" customHeight="1" x14ac:dyDescent="0.25">
      <c r="A155" s="92" t="s">
        <v>132</v>
      </c>
      <c r="B155" s="97" t="s">
        <v>133</v>
      </c>
      <c r="C155" s="97" t="s">
        <v>54</v>
      </c>
      <c r="D155" s="629" t="s">
        <v>130</v>
      </c>
      <c r="E155" s="104">
        <f>E148+E150+E151+E153+E154</f>
        <v>128</v>
      </c>
      <c r="F155" s="673">
        <f>F148+F150+F151+F153+F154</f>
        <v>119</v>
      </c>
      <c r="G155" s="113">
        <f>G148+G150+G151+G153+G154+G152+G149</f>
        <v>120</v>
      </c>
      <c r="H155" s="113">
        <f t="shared" ref="H155:I155" si="165">H148+H150+H151+H153+H154+H152+H149</f>
        <v>120</v>
      </c>
      <c r="I155" s="113">
        <f t="shared" si="165"/>
        <v>120</v>
      </c>
      <c r="J155" s="99">
        <v>0</v>
      </c>
      <c r="K155" s="98">
        <v>0</v>
      </c>
      <c r="L155" s="101">
        <v>61511.06</v>
      </c>
      <c r="M155" s="98">
        <f t="shared" si="97"/>
        <v>61511.06</v>
      </c>
      <c r="N155" s="98">
        <f>G155*J155</f>
        <v>0</v>
      </c>
      <c r="O155" s="98">
        <f>G155*K155</f>
        <v>0</v>
      </c>
      <c r="P155" s="109"/>
      <c r="Q155" s="811">
        <f>G155*L155</f>
        <v>7381327.2000000002</v>
      </c>
      <c r="R155" s="99"/>
      <c r="S155" s="99"/>
      <c r="T155" s="102">
        <f>SUM(N155:Q155)</f>
        <v>7381327.2000000002</v>
      </c>
      <c r="U155" s="98">
        <f>H155*L155</f>
        <v>7381327.2000000002</v>
      </c>
      <c r="V155" s="98">
        <f>I155*L155</f>
        <v>7381327.2000000002</v>
      </c>
    </row>
    <row r="156" spans="1:29" ht="30" customHeight="1" x14ac:dyDescent="0.25">
      <c r="A156" s="483" t="s">
        <v>622</v>
      </c>
      <c r="B156" s="97" t="s">
        <v>133</v>
      </c>
      <c r="C156" s="97" t="s">
        <v>134</v>
      </c>
      <c r="D156" s="629"/>
      <c r="E156" s="109"/>
      <c r="F156" s="104"/>
      <c r="G156" s="113">
        <f>G155</f>
        <v>120</v>
      </c>
      <c r="H156" s="113">
        <f t="shared" ref="H156:I156" si="166">H155</f>
        <v>120</v>
      </c>
      <c r="I156" s="113">
        <f t="shared" si="166"/>
        <v>120</v>
      </c>
      <c r="J156" s="99"/>
      <c r="K156" s="98"/>
      <c r="L156" s="101">
        <v>20437.68</v>
      </c>
      <c r="M156" s="98">
        <f t="shared" si="97"/>
        <v>20437.68</v>
      </c>
      <c r="N156" s="109"/>
      <c r="O156" s="98"/>
      <c r="P156" s="109"/>
      <c r="Q156" s="99"/>
      <c r="R156" s="99"/>
      <c r="S156" s="811">
        <f>G156*L156</f>
        <v>2452521.6</v>
      </c>
      <c r="T156" s="102">
        <f>S156</f>
        <v>2452521.6</v>
      </c>
      <c r="U156" s="98">
        <f>H156*L156</f>
        <v>2452521.6</v>
      </c>
      <c r="V156" s="98">
        <f>L156*I156</f>
        <v>2452521.6</v>
      </c>
    </row>
    <row r="157" spans="1:29" ht="21" customHeight="1" x14ac:dyDescent="0.25">
      <c r="A157" s="96" t="s">
        <v>148</v>
      </c>
      <c r="B157" s="96"/>
      <c r="C157" s="96"/>
      <c r="D157" s="111"/>
      <c r="E157" s="112"/>
      <c r="F157" s="113"/>
      <c r="G157" s="113"/>
      <c r="H157" s="112"/>
      <c r="I157" s="112"/>
      <c r="J157" s="101"/>
      <c r="K157" s="98"/>
      <c r="L157" s="101"/>
      <c r="M157" s="98">
        <f t="shared" si="97"/>
        <v>0</v>
      </c>
      <c r="N157" s="107">
        <f>N158+N175</f>
        <v>18804956.07</v>
      </c>
      <c r="O157" s="101">
        <f>O158</f>
        <v>8182820.7699999996</v>
      </c>
      <c r="P157" s="113"/>
      <c r="Q157" s="804">
        <f>Q158+Q168</f>
        <v>16466445.42</v>
      </c>
      <c r="R157" s="101"/>
      <c r="S157" s="101">
        <f>S169</f>
        <v>2513834.64</v>
      </c>
      <c r="T157" s="107">
        <f>T158+T168+T169+T175</f>
        <v>45968056.899999999</v>
      </c>
      <c r="U157" s="372">
        <f>U158+U168+U169+U175</f>
        <v>45795877.479999997</v>
      </c>
      <c r="V157" s="102">
        <f>V158+V168+V169+V175</f>
        <v>45631696.700000003</v>
      </c>
      <c r="W157" s="83">
        <v>7637084.2800000003</v>
      </c>
      <c r="X157" s="93">
        <f>W157-Q157</f>
        <v>-8829361.1400000006</v>
      </c>
      <c r="Y157" s="83">
        <f>X157/G168</f>
        <v>-71783.423902438997</v>
      </c>
      <c r="AA157" s="83">
        <v>7421318.2800000003</v>
      </c>
      <c r="AB157" s="93">
        <f>AA157-Q157</f>
        <v>-9045127.1400000006</v>
      </c>
      <c r="AC157" s="83">
        <f>AB157/I168</f>
        <v>-73537.619024390297</v>
      </c>
    </row>
    <row r="158" spans="1:29" ht="79.95" customHeight="1" x14ac:dyDescent="0.25">
      <c r="A158" s="92" t="s">
        <v>127</v>
      </c>
      <c r="B158" s="87" t="s">
        <v>128</v>
      </c>
      <c r="C158" s="87"/>
      <c r="D158" s="629"/>
      <c r="E158" s="109"/>
      <c r="F158" s="104"/>
      <c r="G158" s="104"/>
      <c r="H158" s="109"/>
      <c r="I158" s="109"/>
      <c r="J158" s="99"/>
      <c r="K158" s="98"/>
      <c r="L158" s="99"/>
      <c r="M158" s="98"/>
      <c r="N158" s="98">
        <f>SUM(N159:N167)</f>
        <v>18468595.870000001</v>
      </c>
      <c r="O158" s="98">
        <f t="shared" ref="O158:V158" si="167">SUM(O159:O167)</f>
        <v>8182820.7699999996</v>
      </c>
      <c r="P158" s="98">
        <f t="shared" si="167"/>
        <v>0</v>
      </c>
      <c r="Q158" s="102">
        <f t="shared" si="167"/>
        <v>8900585.0399999991</v>
      </c>
      <c r="R158" s="98">
        <f t="shared" si="167"/>
        <v>0</v>
      </c>
      <c r="S158" s="98"/>
      <c r="T158" s="102">
        <f t="shared" si="167"/>
        <v>35552001.68</v>
      </c>
      <c r="U158" s="98">
        <f t="shared" si="167"/>
        <v>35552001.68</v>
      </c>
      <c r="V158" s="98">
        <f t="shared" si="167"/>
        <v>35552001.68</v>
      </c>
      <c r="W158" s="93">
        <v>18749103.280000001</v>
      </c>
      <c r="Y158" s="93"/>
      <c r="AA158" s="93">
        <f>18749103.28+U169</f>
        <v>21262937.920000002</v>
      </c>
      <c r="AB158" s="93">
        <f>U157-AA158</f>
        <v>24532939.559999999</v>
      </c>
    </row>
    <row r="159" spans="1:29" ht="108" customHeight="1" x14ac:dyDescent="0.25">
      <c r="A159" s="92"/>
      <c r="B159" s="92" t="s">
        <v>129</v>
      </c>
      <c r="C159" s="625" t="s">
        <v>300</v>
      </c>
      <c r="D159" s="629" t="s">
        <v>130</v>
      </c>
      <c r="E159" s="104">
        <v>16</v>
      </c>
      <c r="F159" s="579">
        <v>14</v>
      </c>
      <c r="G159" s="674">
        <v>14</v>
      </c>
      <c r="H159" s="674">
        <v>14</v>
      </c>
      <c r="I159" s="674">
        <v>14</v>
      </c>
      <c r="J159" s="99">
        <v>86493.99</v>
      </c>
      <c r="K159" s="98">
        <f>43062.49+18402.51*1</f>
        <v>61465</v>
      </c>
      <c r="L159" s="101">
        <v>72362.48</v>
      </c>
      <c r="M159" s="98">
        <f t="shared" ref="M159:M160" si="168">J159+K159+L159</f>
        <v>220321.47</v>
      </c>
      <c r="N159" s="99">
        <f t="shared" ref="N159:N166" si="169">G159*J159</f>
        <v>1210915.8600000001</v>
      </c>
      <c r="O159" s="98">
        <f>G159*K159</f>
        <v>860510</v>
      </c>
      <c r="P159" s="109"/>
      <c r="Q159" s="99">
        <f t="shared" ref="Q159:Q166" si="170">G159*L159</f>
        <v>1013074.72</v>
      </c>
      <c r="R159" s="99"/>
      <c r="S159" s="99"/>
      <c r="T159" s="98">
        <f t="shared" ref="T159:T168" si="171">SUM(N159:Q159)</f>
        <v>3084500.58</v>
      </c>
      <c r="U159" s="98">
        <f t="shared" ref="U159:V166" si="172">T159</f>
        <v>3084500.58</v>
      </c>
      <c r="V159" s="98">
        <f t="shared" si="172"/>
        <v>3084500.58</v>
      </c>
      <c r="W159" s="93"/>
      <c r="Y159" s="93"/>
      <c r="AA159" s="93"/>
      <c r="AB159" s="93"/>
    </row>
    <row r="160" spans="1:29" ht="108" customHeight="1" x14ac:dyDescent="0.25">
      <c r="A160" s="662" t="s">
        <v>342</v>
      </c>
      <c r="B160" s="92" t="s">
        <v>588</v>
      </c>
      <c r="C160" s="784" t="s">
        <v>518</v>
      </c>
      <c r="D160" s="629" t="s">
        <v>130</v>
      </c>
      <c r="E160" s="104">
        <v>14</v>
      </c>
      <c r="F160" s="579">
        <v>23</v>
      </c>
      <c r="G160" s="104">
        <v>16</v>
      </c>
      <c r="H160" s="104">
        <f>39-23</f>
        <v>16</v>
      </c>
      <c r="I160" s="104">
        <f>39-23</f>
        <v>16</v>
      </c>
      <c r="J160" s="99">
        <v>245948.56</v>
      </c>
      <c r="K160" s="98">
        <f>64533.72+18402.51*2</f>
        <v>101338.74</v>
      </c>
      <c r="L160" s="811">
        <v>72362.48</v>
      </c>
      <c r="M160" s="98">
        <f t="shared" si="168"/>
        <v>419649.78</v>
      </c>
      <c r="N160" s="99">
        <f t="shared" ref="N160" si="173">G160*J160</f>
        <v>3935176.96</v>
      </c>
      <c r="O160" s="98">
        <f>G160*K160</f>
        <v>1621419.84</v>
      </c>
      <c r="P160" s="109"/>
      <c r="Q160" s="99">
        <f t="shared" si="170"/>
        <v>1157799.68</v>
      </c>
      <c r="R160" s="99"/>
      <c r="S160" s="99"/>
      <c r="T160" s="98">
        <f t="shared" si="171"/>
        <v>6714396.4800000004</v>
      </c>
      <c r="U160" s="98">
        <f t="shared" ref="U160" si="174">T160</f>
        <v>6714396.4800000004</v>
      </c>
      <c r="V160" s="98">
        <f t="shared" ref="V160" si="175">U160</f>
        <v>6714396.4800000004</v>
      </c>
      <c r="W160" s="93"/>
      <c r="Y160" s="93"/>
      <c r="AA160" s="93"/>
      <c r="AB160" s="93"/>
    </row>
    <row r="161" spans="1:29" ht="26.4" customHeight="1" x14ac:dyDescent="0.25">
      <c r="A161" s="92"/>
      <c r="B161" s="97" t="s">
        <v>129</v>
      </c>
      <c r="C161" s="872" t="s">
        <v>601</v>
      </c>
      <c r="D161" s="629" t="s">
        <v>130</v>
      </c>
      <c r="E161" s="104">
        <v>14</v>
      </c>
      <c r="F161" s="579">
        <v>23</v>
      </c>
      <c r="G161" s="104">
        <v>16</v>
      </c>
      <c r="H161" s="104">
        <v>16</v>
      </c>
      <c r="I161" s="104">
        <v>16</v>
      </c>
      <c r="J161" s="99">
        <v>175329.95</v>
      </c>
      <c r="K161" s="98">
        <f>43062.49+18402.51*1.5</f>
        <v>70666.259999999995</v>
      </c>
      <c r="L161" s="101">
        <v>72362.48</v>
      </c>
      <c r="M161" s="98">
        <f t="shared" si="97"/>
        <v>318358.69</v>
      </c>
      <c r="N161" s="99">
        <f t="shared" si="169"/>
        <v>2805279.2</v>
      </c>
      <c r="O161" s="98">
        <f>G161*K161</f>
        <v>1130660.1599999999</v>
      </c>
      <c r="P161" s="109"/>
      <c r="Q161" s="99">
        <f t="shared" si="170"/>
        <v>1157799.68</v>
      </c>
      <c r="R161" s="99"/>
      <c r="S161" s="99"/>
      <c r="T161" s="98">
        <f t="shared" si="171"/>
        <v>5093739.04</v>
      </c>
      <c r="U161" s="98">
        <f t="shared" si="172"/>
        <v>5093739.04</v>
      </c>
      <c r="V161" s="98">
        <f t="shared" si="172"/>
        <v>5093739.04</v>
      </c>
    </row>
    <row r="162" spans="1:29" ht="25.95" customHeight="1" x14ac:dyDescent="0.25">
      <c r="A162" s="481" t="s">
        <v>343</v>
      </c>
      <c r="B162" s="97" t="s">
        <v>330</v>
      </c>
      <c r="C162" s="904"/>
      <c r="D162" s="629" t="s">
        <v>130</v>
      </c>
      <c r="E162" s="104">
        <v>1</v>
      </c>
      <c r="F162" s="579">
        <v>1</v>
      </c>
      <c r="G162" s="113">
        <f>1-1</f>
        <v>0</v>
      </c>
      <c r="H162" s="113">
        <f>1-1</f>
        <v>0</v>
      </c>
      <c r="I162" s="113">
        <f>1-1</f>
        <v>0</v>
      </c>
      <c r="J162" s="99">
        <v>132713.06</v>
      </c>
      <c r="K162" s="98">
        <f>32326.86+18402.51*1</f>
        <v>50729.37</v>
      </c>
      <c r="L162" s="101">
        <v>72362.48</v>
      </c>
      <c r="M162" s="98">
        <f t="shared" si="97"/>
        <v>255804.91</v>
      </c>
      <c r="N162" s="99">
        <f t="shared" si="169"/>
        <v>0</v>
      </c>
      <c r="O162" s="98">
        <f t="shared" ref="O162" si="176">G162*K162</f>
        <v>0</v>
      </c>
      <c r="P162" s="109"/>
      <c r="Q162" s="99">
        <f t="shared" si="170"/>
        <v>0</v>
      </c>
      <c r="R162" s="99"/>
      <c r="S162" s="99"/>
      <c r="T162" s="98">
        <f t="shared" si="171"/>
        <v>0</v>
      </c>
      <c r="U162" s="98">
        <f t="shared" si="172"/>
        <v>0</v>
      </c>
      <c r="V162" s="98">
        <f t="shared" si="172"/>
        <v>0</v>
      </c>
      <c r="X162" s="93">
        <f>W158-U157</f>
        <v>-27046774.199999999</v>
      </c>
    </row>
    <row r="163" spans="1:29" ht="25.2" customHeight="1" x14ac:dyDescent="0.25">
      <c r="A163" s="97"/>
      <c r="B163" s="97" t="s">
        <v>330</v>
      </c>
      <c r="C163" s="904"/>
      <c r="D163" s="629" t="s">
        <v>130</v>
      </c>
      <c r="E163" s="104">
        <v>54</v>
      </c>
      <c r="F163" s="579">
        <v>60</v>
      </c>
      <c r="G163" s="104">
        <f>68-16</f>
        <v>52</v>
      </c>
      <c r="H163" s="104">
        <f t="shared" ref="H163:I163" si="177">68-16</f>
        <v>52</v>
      </c>
      <c r="I163" s="104">
        <f t="shared" si="177"/>
        <v>52</v>
      </c>
      <c r="J163" s="99">
        <v>132713.06</v>
      </c>
      <c r="K163" s="98">
        <f t="shared" ref="K163:K165" si="178">32326.86+18402.51*1</f>
        <v>50729.37</v>
      </c>
      <c r="L163" s="101">
        <v>72362.48</v>
      </c>
      <c r="M163" s="98">
        <f t="shared" si="97"/>
        <v>255804.91</v>
      </c>
      <c r="N163" s="99">
        <f t="shared" si="169"/>
        <v>6901079.1200000001</v>
      </c>
      <c r="O163" s="98">
        <f>G163*K163+9201.25</f>
        <v>2647128.4900000002</v>
      </c>
      <c r="P163" s="109"/>
      <c r="Q163" s="99">
        <f t="shared" si="170"/>
        <v>3762848.96</v>
      </c>
      <c r="R163" s="99"/>
      <c r="S163" s="99"/>
      <c r="T163" s="98">
        <f t="shared" si="171"/>
        <v>13311056.57</v>
      </c>
      <c r="U163" s="98">
        <f t="shared" si="172"/>
        <v>13311056.57</v>
      </c>
      <c r="V163" s="98">
        <f t="shared" si="172"/>
        <v>13311056.57</v>
      </c>
    </row>
    <row r="164" spans="1:29" ht="27" customHeight="1" x14ac:dyDescent="0.25">
      <c r="A164" s="661" t="s">
        <v>342</v>
      </c>
      <c r="B164" s="92" t="s">
        <v>651</v>
      </c>
      <c r="C164" s="904"/>
      <c r="D164" s="629" t="s">
        <v>130</v>
      </c>
      <c r="E164" s="104">
        <v>8</v>
      </c>
      <c r="F164" s="579">
        <f>8-3</f>
        <v>5</v>
      </c>
      <c r="G164" s="104">
        <v>6</v>
      </c>
      <c r="H164" s="104">
        <f>7-1</f>
        <v>6</v>
      </c>
      <c r="I164" s="104">
        <f>7-1</f>
        <v>6</v>
      </c>
      <c r="J164" s="99">
        <v>175329.95</v>
      </c>
      <c r="K164" s="98">
        <f>43062.49+18402.51*1.5</f>
        <v>70666.259999999995</v>
      </c>
      <c r="L164" s="101">
        <v>72362.48</v>
      </c>
      <c r="M164" s="98">
        <f t="shared" si="97"/>
        <v>318358.69</v>
      </c>
      <c r="N164" s="99">
        <f t="shared" si="169"/>
        <v>1051979.7</v>
      </c>
      <c r="O164" s="98">
        <f>G164*K164</f>
        <v>423997.56</v>
      </c>
      <c r="P164" s="109"/>
      <c r="Q164" s="99">
        <f t="shared" si="170"/>
        <v>434174.88</v>
      </c>
      <c r="R164" s="99"/>
      <c r="S164" s="99"/>
      <c r="T164" s="98">
        <f t="shared" si="171"/>
        <v>1910152.14</v>
      </c>
      <c r="U164" s="98">
        <f t="shared" si="172"/>
        <v>1910152.14</v>
      </c>
      <c r="V164" s="98">
        <f t="shared" si="172"/>
        <v>1910152.14</v>
      </c>
    </row>
    <row r="165" spans="1:29" ht="33.6" customHeight="1" x14ac:dyDescent="0.25">
      <c r="A165" s="661" t="s">
        <v>342</v>
      </c>
      <c r="B165" s="92" t="s">
        <v>651</v>
      </c>
      <c r="C165" s="904"/>
      <c r="D165" s="629" t="s">
        <v>130</v>
      </c>
      <c r="E165" s="104"/>
      <c r="F165" s="579"/>
      <c r="G165" s="104">
        <v>17</v>
      </c>
      <c r="H165" s="104">
        <v>17</v>
      </c>
      <c r="I165" s="104">
        <v>17</v>
      </c>
      <c r="J165" s="99">
        <v>132713.06</v>
      </c>
      <c r="K165" s="98">
        <f t="shared" si="178"/>
        <v>50729.37</v>
      </c>
      <c r="L165" s="101">
        <v>72362.48</v>
      </c>
      <c r="M165" s="98">
        <f t="shared" ref="M165" si="179">J165+K165+L165</f>
        <v>255804.91</v>
      </c>
      <c r="N165" s="99">
        <f t="shared" si="169"/>
        <v>2256122.02</v>
      </c>
      <c r="O165" s="98">
        <f>G165*K165</f>
        <v>862399.29</v>
      </c>
      <c r="P165" s="109"/>
      <c r="Q165" s="99">
        <f t="shared" si="170"/>
        <v>1230162.1599999999</v>
      </c>
      <c r="R165" s="99"/>
      <c r="S165" s="99"/>
      <c r="T165" s="98">
        <f t="shared" si="171"/>
        <v>4348683.47</v>
      </c>
      <c r="U165" s="98">
        <f t="shared" si="172"/>
        <v>4348683.47</v>
      </c>
      <c r="V165" s="98">
        <f t="shared" si="172"/>
        <v>4348683.47</v>
      </c>
    </row>
    <row r="166" spans="1:29" ht="27" customHeight="1" x14ac:dyDescent="0.25">
      <c r="A166" s="481" t="s">
        <v>516</v>
      </c>
      <c r="B166" s="92" t="s">
        <v>328</v>
      </c>
      <c r="C166" s="904"/>
      <c r="D166" s="629" t="s">
        <v>130</v>
      </c>
      <c r="E166" s="104">
        <v>1</v>
      </c>
      <c r="F166" s="579">
        <v>1</v>
      </c>
      <c r="G166" s="113">
        <v>1</v>
      </c>
      <c r="H166" s="113">
        <v>1</v>
      </c>
      <c r="I166" s="113">
        <v>1</v>
      </c>
      <c r="J166" s="99">
        <v>132713.06</v>
      </c>
      <c r="K166" s="98">
        <f>32326.86+18402.51*1+257654.9</f>
        <v>308384.27</v>
      </c>
      <c r="L166" s="101">
        <v>72362.48</v>
      </c>
      <c r="M166" s="98">
        <f t="shared" si="97"/>
        <v>513459.81</v>
      </c>
      <c r="N166" s="99">
        <f t="shared" si="169"/>
        <v>132713.06</v>
      </c>
      <c r="O166" s="98">
        <f>G166*K166</f>
        <v>308384.27</v>
      </c>
      <c r="P166" s="109"/>
      <c r="Q166" s="99">
        <f t="shared" si="170"/>
        <v>72362.48</v>
      </c>
      <c r="R166" s="99"/>
      <c r="S166" s="99"/>
      <c r="T166" s="98">
        <f t="shared" si="171"/>
        <v>513459.81</v>
      </c>
      <c r="U166" s="98">
        <f t="shared" si="172"/>
        <v>513459.81</v>
      </c>
      <c r="V166" s="98">
        <f t="shared" si="172"/>
        <v>513459.81</v>
      </c>
    </row>
    <row r="167" spans="1:29" ht="23.4" customHeight="1" x14ac:dyDescent="0.25">
      <c r="A167" s="661" t="s">
        <v>342</v>
      </c>
      <c r="B167" s="97" t="s">
        <v>129</v>
      </c>
      <c r="C167" s="905"/>
      <c r="D167" s="629" t="s">
        <v>130</v>
      </c>
      <c r="E167" s="104">
        <v>3</v>
      </c>
      <c r="F167" s="579">
        <v>3</v>
      </c>
      <c r="G167" s="113">
        <v>1</v>
      </c>
      <c r="H167" s="104">
        <v>1</v>
      </c>
      <c r="I167" s="104">
        <v>1</v>
      </c>
      <c r="J167" s="99">
        <v>175329.95</v>
      </c>
      <c r="K167" s="98">
        <f>70666.26+257654.9</f>
        <v>328321.15999999997</v>
      </c>
      <c r="L167" s="101">
        <v>72362.48</v>
      </c>
      <c r="M167" s="98">
        <f t="shared" si="97"/>
        <v>576013.59</v>
      </c>
      <c r="N167" s="99">
        <f>J167*G167</f>
        <v>175329.95</v>
      </c>
      <c r="O167" s="98">
        <f>G167*K167</f>
        <v>328321.15999999997</v>
      </c>
      <c r="P167" s="109"/>
      <c r="Q167" s="99">
        <f t="shared" ref="Q167" si="180">G167*L167</f>
        <v>72362.48</v>
      </c>
      <c r="R167" s="99"/>
      <c r="S167" s="99"/>
      <c r="T167" s="98">
        <f t="shared" si="171"/>
        <v>576013.59</v>
      </c>
      <c r="U167" s="98">
        <f>T167</f>
        <v>576013.59</v>
      </c>
      <c r="V167" s="98">
        <f>U167</f>
        <v>576013.59</v>
      </c>
    </row>
    <row r="168" spans="1:29" ht="61.2" customHeight="1" x14ac:dyDescent="0.25">
      <c r="A168" s="92" t="s">
        <v>132</v>
      </c>
      <c r="B168" s="97" t="s">
        <v>133</v>
      </c>
      <c r="C168" s="97" t="s">
        <v>54</v>
      </c>
      <c r="D168" s="629" t="s">
        <v>130</v>
      </c>
      <c r="E168" s="113" t="e">
        <f>E163+#REF!+E162+E161+E167+E166+E159+E164</f>
        <v>#REF!</v>
      </c>
      <c r="F168" s="673" t="e">
        <f>F163+#REF!+F162+F161+F167+F166+F159+F164</f>
        <v>#REF!</v>
      </c>
      <c r="G168" s="113">
        <f>G159+G160+G161+G162+G163+G164+G165+G166+G167</f>
        <v>123</v>
      </c>
      <c r="H168" s="113">
        <f t="shared" ref="H168:I168" si="181">H159+H160+H161+H162+H163+H164+H165+H166+H167</f>
        <v>123</v>
      </c>
      <c r="I168" s="113">
        <f t="shared" si="181"/>
        <v>123</v>
      </c>
      <c r="J168" s="99">
        <v>0</v>
      </c>
      <c r="K168" s="99">
        <v>0</v>
      </c>
      <c r="L168" s="101">
        <f>61511.06</f>
        <v>61511.06</v>
      </c>
      <c r="M168" s="99">
        <f>J168+K168+L168</f>
        <v>61511.06</v>
      </c>
      <c r="N168" s="99">
        <f>G168*J168</f>
        <v>0</v>
      </c>
      <c r="O168" s="99">
        <f>G168*K168</f>
        <v>0</v>
      </c>
      <c r="P168" s="104">
        <f>P163+P164+P162+P161+P167+P166</f>
        <v>0</v>
      </c>
      <c r="Q168" s="811">
        <f>G168*L168</f>
        <v>7565860.3799999999</v>
      </c>
      <c r="R168" s="104" t="e">
        <f>R163+#REF!+R162+R161+R167+R166</f>
        <v>#REF!</v>
      </c>
      <c r="S168" s="104"/>
      <c r="T168" s="102">
        <f t="shared" si="171"/>
        <v>7565860.3799999999</v>
      </c>
      <c r="U168" s="99">
        <f>T168</f>
        <v>7565860.3799999999</v>
      </c>
      <c r="V168" s="99">
        <f>U168</f>
        <v>7565860.3799999999</v>
      </c>
    </row>
    <row r="169" spans="1:29" ht="31.95" customHeight="1" x14ac:dyDescent="0.25">
      <c r="A169" s="580" t="s">
        <v>650</v>
      </c>
      <c r="B169" s="97" t="s">
        <v>133</v>
      </c>
      <c r="C169" s="97" t="s">
        <v>134</v>
      </c>
      <c r="D169" s="629"/>
      <c r="E169" s="109"/>
      <c r="F169" s="104"/>
      <c r="G169" s="113">
        <f>G168</f>
        <v>123</v>
      </c>
      <c r="H169" s="113">
        <f t="shared" ref="H169:I169" si="182">H168</f>
        <v>123</v>
      </c>
      <c r="I169" s="113">
        <f t="shared" si="182"/>
        <v>123</v>
      </c>
      <c r="J169" s="99"/>
      <c r="K169" s="98"/>
      <c r="L169" s="101">
        <v>20437.68</v>
      </c>
      <c r="M169" s="98">
        <f t="shared" si="97"/>
        <v>20437.68</v>
      </c>
      <c r="N169" s="109"/>
      <c r="O169" s="98"/>
      <c r="P169" s="109"/>
      <c r="Q169" s="99"/>
      <c r="R169" s="99"/>
      <c r="S169" s="811">
        <f>G169*L169</f>
        <v>2513834.64</v>
      </c>
      <c r="T169" s="102">
        <f>S169</f>
        <v>2513834.64</v>
      </c>
      <c r="U169" s="98">
        <f>S169</f>
        <v>2513834.64</v>
      </c>
      <c r="V169" s="98">
        <f>S169</f>
        <v>2513834.64</v>
      </c>
    </row>
    <row r="170" spans="1:29" ht="22.2" customHeight="1" x14ac:dyDescent="0.25">
      <c r="A170" s="872" t="s">
        <v>642</v>
      </c>
      <c r="B170" s="834" t="s">
        <v>512</v>
      </c>
      <c r="C170" s="97"/>
      <c r="D170" s="19" t="s">
        <v>24</v>
      </c>
      <c r="E170" s="104"/>
      <c r="F170" s="104">
        <v>30</v>
      </c>
      <c r="G170" s="113">
        <v>30</v>
      </c>
      <c r="H170" s="104">
        <v>0</v>
      </c>
      <c r="I170" s="104">
        <v>0</v>
      </c>
      <c r="J170" s="99">
        <v>0</v>
      </c>
      <c r="K170" s="99"/>
      <c r="L170" s="101"/>
      <c r="M170" s="99">
        <f>J170+K170+L170</f>
        <v>0</v>
      </c>
      <c r="N170" s="99">
        <f>G170*J170</f>
        <v>0</v>
      </c>
      <c r="O170" s="99"/>
      <c r="P170" s="104"/>
      <c r="Q170" s="99"/>
      <c r="R170" s="99"/>
      <c r="S170" s="99"/>
      <c r="T170" s="99">
        <f>SUM(N170:Q170)</f>
        <v>0</v>
      </c>
      <c r="U170" s="99"/>
      <c r="V170" s="99"/>
    </row>
    <row r="171" spans="1:29" ht="40.200000000000003" customHeight="1" x14ac:dyDescent="0.25">
      <c r="A171" s="873"/>
      <c r="B171" s="835"/>
      <c r="C171" s="97" t="s">
        <v>633</v>
      </c>
      <c r="D171" s="410" t="s">
        <v>232</v>
      </c>
      <c r="E171" s="104">
        <v>0</v>
      </c>
      <c r="F171" s="104">
        <f>64*F170</f>
        <v>1920</v>
      </c>
      <c r="G171" s="113">
        <f>10*2*G170</f>
        <v>600</v>
      </c>
      <c r="H171" s="104">
        <v>0</v>
      </c>
      <c r="I171" s="104">
        <v>0</v>
      </c>
      <c r="J171" s="101">
        <v>341.19</v>
      </c>
      <c r="K171" s="99"/>
      <c r="L171" s="101"/>
      <c r="M171" s="99">
        <f>J171+K171+L171</f>
        <v>341.19</v>
      </c>
      <c r="N171" s="101">
        <f>G171*J171-263.85+263.85</f>
        <v>204714</v>
      </c>
      <c r="O171" s="99"/>
      <c r="P171" s="104"/>
      <c r="Q171" s="99"/>
      <c r="R171" s="99"/>
      <c r="S171" s="99"/>
      <c r="T171" s="101">
        <f>SUM(N171:Q171)</f>
        <v>204714</v>
      </c>
      <c r="U171" s="99">
        <f>H171*J171</f>
        <v>0</v>
      </c>
      <c r="V171" s="99">
        <f>I171*J171</f>
        <v>0</v>
      </c>
    </row>
    <row r="172" spans="1:29" ht="30" customHeight="1" x14ac:dyDescent="0.25">
      <c r="A172" s="872" t="s">
        <v>642</v>
      </c>
      <c r="B172" s="834" t="s">
        <v>512</v>
      </c>
      <c r="C172" s="97"/>
      <c r="D172" s="19" t="s">
        <v>24</v>
      </c>
      <c r="E172" s="104"/>
      <c r="F172" s="104">
        <v>30</v>
      </c>
      <c r="G172" s="674">
        <v>12</v>
      </c>
      <c r="H172" s="674">
        <v>12</v>
      </c>
      <c r="I172" s="104">
        <v>0</v>
      </c>
      <c r="J172" s="99">
        <v>0</v>
      </c>
      <c r="K172" s="99"/>
      <c r="L172" s="101"/>
      <c r="M172" s="99">
        <f>J172+K172+L172</f>
        <v>0</v>
      </c>
      <c r="N172" s="99">
        <f>G172*J172</f>
        <v>0</v>
      </c>
      <c r="O172" s="99"/>
      <c r="P172" s="104"/>
      <c r="Q172" s="99"/>
      <c r="R172" s="99"/>
      <c r="S172" s="105"/>
      <c r="T172" s="99">
        <f>SUM(N172:Q172)</f>
        <v>0</v>
      </c>
      <c r="U172" s="105"/>
      <c r="V172" s="105"/>
    </row>
    <row r="173" spans="1:29" ht="38.4" customHeight="1" x14ac:dyDescent="0.25">
      <c r="A173" s="873"/>
      <c r="B173" s="835"/>
      <c r="C173" s="92" t="s">
        <v>636</v>
      </c>
      <c r="D173" s="410" t="s">
        <v>232</v>
      </c>
      <c r="E173" s="104">
        <v>0</v>
      </c>
      <c r="F173" s="104">
        <f>64*F172</f>
        <v>1920</v>
      </c>
      <c r="G173" s="108">
        <f>16*2*G172</f>
        <v>384</v>
      </c>
      <c r="H173" s="108">
        <f>20*2*H172</f>
        <v>480</v>
      </c>
      <c r="I173" s="104">
        <v>0</v>
      </c>
      <c r="J173" s="107">
        <v>341.19</v>
      </c>
      <c r="K173" s="99"/>
      <c r="L173" s="101"/>
      <c r="M173" s="99">
        <f>J173+K173+L173</f>
        <v>341.19</v>
      </c>
      <c r="N173" s="107">
        <f>G173*J173+629.24</f>
        <v>131646.20000000001</v>
      </c>
      <c r="O173" s="99"/>
      <c r="P173" s="104"/>
      <c r="Q173" s="99"/>
      <c r="R173" s="99"/>
      <c r="S173" s="105"/>
      <c r="T173" s="107">
        <f>SUM(N173:Q173)</f>
        <v>131646.20000000001</v>
      </c>
      <c r="U173" s="107">
        <f>H173*J173+409.58</f>
        <v>164180.78</v>
      </c>
      <c r="V173" s="99">
        <f>I173*J173</f>
        <v>0</v>
      </c>
    </row>
    <row r="174" spans="1:29" ht="22.2" customHeight="1" x14ac:dyDescent="0.25">
      <c r="A174" s="906" t="s">
        <v>647</v>
      </c>
      <c r="B174" s="907"/>
      <c r="C174" s="908"/>
      <c r="D174" s="734" t="s">
        <v>24</v>
      </c>
      <c r="E174" s="735"/>
      <c r="F174" s="735">
        <v>30</v>
      </c>
      <c r="G174" s="812">
        <f t="shared" ref="G174:I175" si="183">G170+G172</f>
        <v>42</v>
      </c>
      <c r="H174" s="812">
        <f t="shared" si="183"/>
        <v>12</v>
      </c>
      <c r="I174" s="735">
        <f t="shared" si="183"/>
        <v>0</v>
      </c>
      <c r="J174" s="738" t="s">
        <v>26</v>
      </c>
      <c r="K174" s="738" t="s">
        <v>26</v>
      </c>
      <c r="L174" s="739" t="s">
        <v>26</v>
      </c>
      <c r="M174" s="738" t="s">
        <v>26</v>
      </c>
      <c r="N174" s="740"/>
      <c r="O174" s="738"/>
      <c r="P174" s="735"/>
      <c r="Q174" s="738"/>
      <c r="R174" s="738"/>
      <c r="S174" s="740"/>
      <c r="T174" s="737"/>
      <c r="U174" s="740"/>
      <c r="V174" s="740"/>
    </row>
    <row r="175" spans="1:29" ht="24" customHeight="1" x14ac:dyDescent="0.25">
      <c r="A175" s="909"/>
      <c r="B175" s="910"/>
      <c r="C175" s="911"/>
      <c r="D175" s="741" t="s">
        <v>232</v>
      </c>
      <c r="E175" s="735"/>
      <c r="F175" s="735"/>
      <c r="G175" s="812">
        <f t="shared" si="183"/>
        <v>984</v>
      </c>
      <c r="H175" s="812">
        <f t="shared" si="183"/>
        <v>480</v>
      </c>
      <c r="I175" s="735">
        <f t="shared" si="183"/>
        <v>0</v>
      </c>
      <c r="J175" s="738" t="s">
        <v>26</v>
      </c>
      <c r="K175" s="738" t="s">
        <v>26</v>
      </c>
      <c r="L175" s="739" t="s">
        <v>26</v>
      </c>
      <c r="M175" s="738" t="s">
        <v>26</v>
      </c>
      <c r="N175" s="739">
        <f>N171+N173</f>
        <v>336360.2</v>
      </c>
      <c r="O175" s="738"/>
      <c r="P175" s="735"/>
      <c r="Q175" s="738"/>
      <c r="R175" s="738"/>
      <c r="S175" s="740"/>
      <c r="T175" s="739">
        <f t="shared" ref="T175" si="184">SUM(N175:Q175)</f>
        <v>336360.2</v>
      </c>
      <c r="U175" s="739">
        <f>U171+U173</f>
        <v>164180.78</v>
      </c>
      <c r="V175" s="738">
        <f>V171+V173</f>
        <v>0</v>
      </c>
    </row>
    <row r="176" spans="1:29" s="118" customFormat="1" ht="24" customHeight="1" x14ac:dyDescent="0.25">
      <c r="A176" s="96" t="s">
        <v>149</v>
      </c>
      <c r="B176" s="96"/>
      <c r="C176" s="96"/>
      <c r="D176" s="111"/>
      <c r="E176" s="112"/>
      <c r="F176" s="113"/>
      <c r="G176" s="113"/>
      <c r="H176" s="112"/>
      <c r="I176" s="112"/>
      <c r="J176" s="101"/>
      <c r="K176" s="98"/>
      <c r="L176" s="101"/>
      <c r="M176" s="98">
        <f t="shared" si="97"/>
        <v>0</v>
      </c>
      <c r="N176" s="107">
        <f>N177+N199</f>
        <v>30338323.34</v>
      </c>
      <c r="O176" s="101">
        <f>O177</f>
        <v>11749862.41</v>
      </c>
      <c r="P176" s="101"/>
      <c r="Q176" s="804">
        <f>Q177+Q188</f>
        <v>24364984.280000001</v>
      </c>
      <c r="R176" s="101"/>
      <c r="S176" s="101">
        <f>S189</f>
        <v>3719657.76</v>
      </c>
      <c r="T176" s="107">
        <f>T177+T188+T189+T199</f>
        <v>70172827.790000007</v>
      </c>
      <c r="U176" s="372">
        <f>U177+U188+U189+U199</f>
        <v>70027624.180000007</v>
      </c>
      <c r="V176" s="102">
        <f>V177+V188+V189+V199</f>
        <v>69701932.040000007</v>
      </c>
      <c r="W176" s="118">
        <v>12135022</v>
      </c>
      <c r="X176" s="119">
        <f>W176-Q176</f>
        <v>-12229962.279999999</v>
      </c>
      <c r="Y176" s="118">
        <f>X176/G188</f>
        <v>-67197.594945054894</v>
      </c>
      <c r="AA176" s="118">
        <v>12524345</v>
      </c>
      <c r="AB176" s="119">
        <f>AA176-Q176</f>
        <v>-11840639.279999999</v>
      </c>
      <c r="AC176" s="118">
        <f>AB176/I188</f>
        <v>-65058.457582417599</v>
      </c>
    </row>
    <row r="177" spans="1:32" ht="72.599999999999994" customHeight="1" x14ac:dyDescent="0.25">
      <c r="A177" s="92" t="s">
        <v>127</v>
      </c>
      <c r="B177" s="87" t="s">
        <v>128</v>
      </c>
      <c r="C177" s="87"/>
      <c r="D177" s="629"/>
      <c r="E177" s="109"/>
      <c r="F177" s="104"/>
      <c r="G177" s="104"/>
      <c r="H177" s="109"/>
      <c r="I177" s="109"/>
      <c r="J177" s="99"/>
      <c r="K177" s="98"/>
      <c r="L177" s="99"/>
      <c r="M177" s="98"/>
      <c r="N177" s="98">
        <f>SUM(N178:N187)</f>
        <v>29867427.59</v>
      </c>
      <c r="O177" s="98">
        <f t="shared" ref="O177:V177" si="185">SUM(O178:O187)</f>
        <v>11749862.41</v>
      </c>
      <c r="P177" s="98">
        <f t="shared" si="185"/>
        <v>0</v>
      </c>
      <c r="Q177" s="102">
        <f t="shared" si="185"/>
        <v>13169971.359999999</v>
      </c>
      <c r="R177" s="98">
        <f t="shared" si="185"/>
        <v>0</v>
      </c>
      <c r="S177" s="98"/>
      <c r="T177" s="102">
        <f t="shared" si="185"/>
        <v>54787261.359999999</v>
      </c>
      <c r="U177" s="98">
        <f t="shared" si="185"/>
        <v>54787261.359999999</v>
      </c>
      <c r="V177" s="98">
        <f t="shared" si="185"/>
        <v>54787261.359999999</v>
      </c>
      <c r="W177" s="93">
        <v>33911273</v>
      </c>
      <c r="AA177" s="93">
        <f>33911273+U189</f>
        <v>37630930.759999998</v>
      </c>
      <c r="AB177" s="93">
        <f>U176-AA177</f>
        <v>32396693.420000002</v>
      </c>
    </row>
    <row r="178" spans="1:32" ht="100.2" customHeight="1" x14ac:dyDescent="0.25">
      <c r="A178" s="92"/>
      <c r="B178" s="97" t="s">
        <v>129</v>
      </c>
      <c r="C178" s="92" t="s">
        <v>469</v>
      </c>
      <c r="D178" s="629" t="s">
        <v>130</v>
      </c>
      <c r="E178" s="104">
        <v>39</v>
      </c>
      <c r="F178" s="579">
        <v>23</v>
      </c>
      <c r="G178" s="104">
        <v>14</v>
      </c>
      <c r="H178" s="104">
        <v>14</v>
      </c>
      <c r="I178" s="104">
        <v>14</v>
      </c>
      <c r="J178" s="99">
        <v>86493.99</v>
      </c>
      <c r="K178" s="99">
        <f>43062.49+16903.56</f>
        <v>59966.05</v>
      </c>
      <c r="L178" s="101">
        <v>72362.48</v>
      </c>
      <c r="M178" s="98">
        <f t="shared" si="97"/>
        <v>218822.52</v>
      </c>
      <c r="N178" s="99">
        <f>G178*J178</f>
        <v>1210915.8600000001</v>
      </c>
      <c r="O178" s="98">
        <f>G178*K178</f>
        <v>839524.7</v>
      </c>
      <c r="P178" s="109"/>
      <c r="Q178" s="99">
        <f>G178*L178</f>
        <v>1013074.72</v>
      </c>
      <c r="R178" s="99"/>
      <c r="S178" s="99"/>
      <c r="T178" s="98">
        <f t="shared" ref="T178:T188" si="186">SUM(N178:Q178)</f>
        <v>3063515.28</v>
      </c>
      <c r="U178" s="98">
        <f>T178</f>
        <v>3063515.28</v>
      </c>
      <c r="V178" s="98">
        <f t="shared" ref="V178:V187" si="187">U178</f>
        <v>3063515.28</v>
      </c>
      <c r="X178" s="93">
        <f>W177-U176</f>
        <v>-36116351.18</v>
      </c>
    </row>
    <row r="179" spans="1:32" ht="124.95" customHeight="1" x14ac:dyDescent="0.25">
      <c r="A179" s="92"/>
      <c r="B179" s="97" t="s">
        <v>129</v>
      </c>
      <c r="C179" s="872" t="s">
        <v>299</v>
      </c>
      <c r="D179" s="629" t="s">
        <v>130</v>
      </c>
      <c r="E179" s="104">
        <v>12</v>
      </c>
      <c r="F179" s="579">
        <v>12</v>
      </c>
      <c r="G179" s="104">
        <v>33</v>
      </c>
      <c r="H179" s="104">
        <v>33</v>
      </c>
      <c r="I179" s="104">
        <v>33</v>
      </c>
      <c r="J179" s="99">
        <v>175329.95</v>
      </c>
      <c r="K179" s="99">
        <f>43062.49+16903.56*1.5</f>
        <v>68417.83</v>
      </c>
      <c r="L179" s="101">
        <v>72362.48</v>
      </c>
      <c r="M179" s="98">
        <f t="shared" si="97"/>
        <v>316110.26</v>
      </c>
      <c r="N179" s="99">
        <f>G179*J179</f>
        <v>5785888.3499999996</v>
      </c>
      <c r="O179" s="98">
        <f>G179*K179</f>
        <v>2257788.39</v>
      </c>
      <c r="P179" s="109"/>
      <c r="Q179" s="99">
        <f>G179*L179</f>
        <v>2387961.84</v>
      </c>
      <c r="R179" s="99"/>
      <c r="S179" s="99"/>
      <c r="T179" s="98">
        <f t="shared" si="186"/>
        <v>10431638.58</v>
      </c>
      <c r="U179" s="98">
        <f>T179</f>
        <v>10431638.58</v>
      </c>
      <c r="V179" s="98">
        <f t="shared" si="187"/>
        <v>10431638.58</v>
      </c>
      <c r="X179" s="93"/>
    </row>
    <row r="180" spans="1:32" ht="66.599999999999994" customHeight="1" x14ac:dyDescent="0.25">
      <c r="A180" s="92"/>
      <c r="B180" s="97" t="s">
        <v>332</v>
      </c>
      <c r="C180" s="901"/>
      <c r="D180" s="629" t="s">
        <v>130</v>
      </c>
      <c r="E180" s="104">
        <v>5</v>
      </c>
      <c r="F180" s="579">
        <v>8</v>
      </c>
      <c r="G180" s="104">
        <v>1</v>
      </c>
      <c r="H180" s="104">
        <f>5+2-6</f>
        <v>1</v>
      </c>
      <c r="I180" s="104">
        <f>5+2-6</f>
        <v>1</v>
      </c>
      <c r="J180" s="99">
        <v>175329.95</v>
      </c>
      <c r="K180" s="99">
        <f>43062.49+16903.56*1.5</f>
        <v>68417.83</v>
      </c>
      <c r="L180" s="101">
        <v>72362.48</v>
      </c>
      <c r="M180" s="98">
        <f t="shared" ref="M180" si="188">J180+K180+L180</f>
        <v>316110.26</v>
      </c>
      <c r="N180" s="98">
        <f t="shared" ref="N180" si="189">G180*J180</f>
        <v>175329.95</v>
      </c>
      <c r="O180" s="99">
        <f>G180*K180</f>
        <v>68417.83</v>
      </c>
      <c r="P180" s="109"/>
      <c r="Q180" s="99">
        <f t="shared" ref="Q180" si="190">G180*L180</f>
        <v>72362.48</v>
      </c>
      <c r="R180" s="99"/>
      <c r="S180" s="99"/>
      <c r="T180" s="98">
        <f t="shared" ref="T180" si="191">SUM(N180:Q180)</f>
        <v>316110.26</v>
      </c>
      <c r="U180" s="98">
        <f t="shared" ref="U180" si="192">T180</f>
        <v>316110.26</v>
      </c>
      <c r="V180" s="98">
        <f t="shared" ref="V180" si="193">U180</f>
        <v>316110.26</v>
      </c>
      <c r="X180" s="93"/>
    </row>
    <row r="181" spans="1:32" ht="46.2" customHeight="1" x14ac:dyDescent="0.25">
      <c r="A181" s="92"/>
      <c r="B181" s="97" t="s">
        <v>332</v>
      </c>
      <c r="C181" s="901"/>
      <c r="D181" s="629" t="s">
        <v>130</v>
      </c>
      <c r="E181" s="104">
        <v>29</v>
      </c>
      <c r="F181" s="579">
        <v>29</v>
      </c>
      <c r="G181" s="104">
        <v>22</v>
      </c>
      <c r="H181" s="104">
        <f>16+6</f>
        <v>22</v>
      </c>
      <c r="I181" s="104">
        <f>16+6</f>
        <v>22</v>
      </c>
      <c r="J181" s="99">
        <v>132713.06</v>
      </c>
      <c r="K181" s="99">
        <f>32326.86+16903.56</f>
        <v>49230.42</v>
      </c>
      <c r="L181" s="101">
        <v>72362.48</v>
      </c>
      <c r="M181" s="98">
        <f t="shared" si="97"/>
        <v>254305.96</v>
      </c>
      <c r="N181" s="98">
        <f>G181*J181</f>
        <v>2919687.32</v>
      </c>
      <c r="O181" s="99">
        <f>G181*K181</f>
        <v>1083069.24</v>
      </c>
      <c r="P181" s="109"/>
      <c r="Q181" s="99">
        <f t="shared" ref="Q181" si="194">G181*L181</f>
        <v>1591974.56</v>
      </c>
      <c r="R181" s="99"/>
      <c r="S181" s="99"/>
      <c r="T181" s="98">
        <f t="shared" si="186"/>
        <v>5594731.1200000001</v>
      </c>
      <c r="U181" s="98">
        <f t="shared" ref="U181:U189" si="195">T181</f>
        <v>5594731.1200000001</v>
      </c>
      <c r="V181" s="98">
        <f t="shared" si="187"/>
        <v>5594731.1200000001</v>
      </c>
    </row>
    <row r="182" spans="1:32" ht="24.6" customHeight="1" x14ac:dyDescent="0.25">
      <c r="A182" s="480" t="s">
        <v>517</v>
      </c>
      <c r="B182" s="481" t="s">
        <v>330</v>
      </c>
      <c r="C182" s="901"/>
      <c r="D182" s="629"/>
      <c r="E182" s="104">
        <v>1</v>
      </c>
      <c r="F182" s="579">
        <v>1</v>
      </c>
      <c r="G182" s="113">
        <v>1</v>
      </c>
      <c r="H182" s="113">
        <v>1</v>
      </c>
      <c r="I182" s="113">
        <v>1</v>
      </c>
      <c r="J182" s="99">
        <v>175329.95</v>
      </c>
      <c r="K182" s="99">
        <f>43062.49+16903.56*1.5</f>
        <v>68417.83</v>
      </c>
      <c r="L182" s="101">
        <v>72362.48</v>
      </c>
      <c r="M182" s="375">
        <f t="shared" si="97"/>
        <v>316110.26</v>
      </c>
      <c r="N182" s="375">
        <f>G182*J182</f>
        <v>175329.95</v>
      </c>
      <c r="O182" s="99">
        <f>G182*K182</f>
        <v>68417.83</v>
      </c>
      <c r="P182" s="374"/>
      <c r="Q182" s="375">
        <f>G182*L182</f>
        <v>72362.48</v>
      </c>
      <c r="R182" s="99"/>
      <c r="S182" s="99"/>
      <c r="T182" s="375">
        <f t="shared" si="186"/>
        <v>316110.26</v>
      </c>
      <c r="U182" s="375">
        <f>T182</f>
        <v>316110.26</v>
      </c>
      <c r="V182" s="375">
        <f>U182</f>
        <v>316110.26</v>
      </c>
    </row>
    <row r="183" spans="1:32" ht="27" customHeight="1" x14ac:dyDescent="0.25">
      <c r="A183" s="97"/>
      <c r="B183" s="97" t="s">
        <v>330</v>
      </c>
      <c r="C183" s="873"/>
      <c r="D183" s="629" t="s">
        <v>130</v>
      </c>
      <c r="E183" s="104">
        <v>77</v>
      </c>
      <c r="F183" s="579">
        <v>60</v>
      </c>
      <c r="G183" s="104">
        <v>68</v>
      </c>
      <c r="H183" s="104">
        <v>68</v>
      </c>
      <c r="I183" s="104">
        <v>68</v>
      </c>
      <c r="J183" s="99">
        <v>132713.06</v>
      </c>
      <c r="K183" s="99">
        <f t="shared" ref="K183" si="196">32326.86+16903.56</f>
        <v>49230.42</v>
      </c>
      <c r="L183" s="101">
        <v>72362.48</v>
      </c>
      <c r="M183" s="98">
        <f t="shared" si="97"/>
        <v>254305.96</v>
      </c>
      <c r="N183" s="98">
        <f>G183*J183</f>
        <v>9024488.0800000001</v>
      </c>
      <c r="O183" s="99">
        <f>G183*K183-143680.26</f>
        <v>3203988.3</v>
      </c>
      <c r="P183" s="109"/>
      <c r="Q183" s="99">
        <f>G183*L183</f>
        <v>4920648.6399999997</v>
      </c>
      <c r="R183" s="99"/>
      <c r="S183" s="99"/>
      <c r="T183" s="98">
        <f t="shared" si="186"/>
        <v>17149125.02</v>
      </c>
      <c r="U183" s="98">
        <f t="shared" si="195"/>
        <v>17149125.02</v>
      </c>
      <c r="V183" s="98">
        <f t="shared" si="187"/>
        <v>17149125.02</v>
      </c>
    </row>
    <row r="184" spans="1:32" s="84" customFormat="1" ht="21" hidden="1" customHeight="1" x14ac:dyDescent="0.25">
      <c r="A184" s="629"/>
      <c r="B184" s="111" t="s">
        <v>137</v>
      </c>
      <c r="C184" s="629" t="s">
        <v>54</v>
      </c>
      <c r="D184" s="629" t="s">
        <v>130</v>
      </c>
      <c r="E184" s="104">
        <v>0</v>
      </c>
      <c r="F184" s="104">
        <v>0</v>
      </c>
      <c r="G184" s="104">
        <f t="shared" ref="G184:G186" si="197">((E184*8)+(F184*4))/12</f>
        <v>0</v>
      </c>
      <c r="H184" s="104">
        <v>0</v>
      </c>
      <c r="I184" s="104">
        <v>0</v>
      </c>
      <c r="J184" s="99">
        <v>95706.64</v>
      </c>
      <c r="K184" s="814">
        <f t="shared" ref="K184:K186" si="198">25496.5+13866.12</f>
        <v>39362.620000000003</v>
      </c>
      <c r="L184" s="101">
        <v>72362.48</v>
      </c>
      <c r="M184" s="98">
        <f t="shared" si="97"/>
        <v>207431.74</v>
      </c>
      <c r="N184" s="98">
        <f t="shared" ref="N184:N187" si="199">G184*J184</f>
        <v>0</v>
      </c>
      <c r="O184" s="99">
        <f t="shared" ref="O184:O186" si="200">G184*K184</f>
        <v>0</v>
      </c>
      <c r="P184" s="109"/>
      <c r="Q184" s="99">
        <f t="shared" ref="Q184:Q187" si="201">G184*L184</f>
        <v>0</v>
      </c>
      <c r="R184" s="99"/>
      <c r="S184" s="99"/>
      <c r="T184" s="98">
        <f t="shared" ref="T184:T187" si="202">SUM(N184:Q184)</f>
        <v>0</v>
      </c>
      <c r="U184" s="98">
        <f t="shared" si="195"/>
        <v>0</v>
      </c>
      <c r="V184" s="98">
        <f t="shared" si="187"/>
        <v>0</v>
      </c>
      <c r="AD184" s="83"/>
      <c r="AE184" s="83"/>
      <c r="AF184" s="83"/>
    </row>
    <row r="185" spans="1:32" ht="39" hidden="1" customHeight="1" x14ac:dyDescent="0.25">
      <c r="A185" s="97"/>
      <c r="B185" s="87" t="s">
        <v>138</v>
      </c>
      <c r="C185" s="97" t="s">
        <v>44</v>
      </c>
      <c r="D185" s="629" t="s">
        <v>130</v>
      </c>
      <c r="E185" s="104">
        <v>0</v>
      </c>
      <c r="F185" s="104">
        <v>0</v>
      </c>
      <c r="G185" s="104">
        <f t="shared" si="197"/>
        <v>0</v>
      </c>
      <c r="H185" s="104">
        <v>0</v>
      </c>
      <c r="I185" s="104">
        <v>0</v>
      </c>
      <c r="J185" s="99">
        <v>95707.64</v>
      </c>
      <c r="K185" s="814">
        <f t="shared" si="198"/>
        <v>39362.620000000003</v>
      </c>
      <c r="L185" s="101">
        <v>72362.48</v>
      </c>
      <c r="M185" s="98">
        <f t="shared" si="97"/>
        <v>207432.74</v>
      </c>
      <c r="N185" s="98">
        <f t="shared" si="199"/>
        <v>0</v>
      </c>
      <c r="O185" s="99">
        <f t="shared" si="200"/>
        <v>0</v>
      </c>
      <c r="P185" s="109"/>
      <c r="Q185" s="99">
        <f t="shared" si="201"/>
        <v>0</v>
      </c>
      <c r="R185" s="99"/>
      <c r="S185" s="99"/>
      <c r="T185" s="98">
        <f t="shared" si="202"/>
        <v>0</v>
      </c>
      <c r="U185" s="98">
        <f t="shared" si="195"/>
        <v>0</v>
      </c>
      <c r="V185" s="98">
        <f t="shared" si="187"/>
        <v>0</v>
      </c>
    </row>
    <row r="186" spans="1:32" ht="24.6" hidden="1" customHeight="1" x14ac:dyDescent="0.25">
      <c r="A186" s="97"/>
      <c r="B186" s="87" t="s">
        <v>139</v>
      </c>
      <c r="C186" s="97"/>
      <c r="D186" s="629" t="s">
        <v>130</v>
      </c>
      <c r="E186" s="104">
        <v>0</v>
      </c>
      <c r="F186" s="104">
        <v>0</v>
      </c>
      <c r="G186" s="104">
        <f t="shared" si="197"/>
        <v>0</v>
      </c>
      <c r="H186" s="104">
        <v>0</v>
      </c>
      <c r="I186" s="104">
        <v>0</v>
      </c>
      <c r="J186" s="99">
        <v>95708.64</v>
      </c>
      <c r="K186" s="814">
        <f t="shared" si="198"/>
        <v>39362.620000000003</v>
      </c>
      <c r="L186" s="101">
        <v>72362.48</v>
      </c>
      <c r="M186" s="98">
        <f t="shared" si="97"/>
        <v>207433.74</v>
      </c>
      <c r="N186" s="98">
        <f t="shared" si="199"/>
        <v>0</v>
      </c>
      <c r="O186" s="99">
        <f t="shared" si="200"/>
        <v>0</v>
      </c>
      <c r="P186" s="109"/>
      <c r="Q186" s="99">
        <f t="shared" si="201"/>
        <v>0</v>
      </c>
      <c r="R186" s="99"/>
      <c r="S186" s="99"/>
      <c r="T186" s="98">
        <f t="shared" si="202"/>
        <v>0</v>
      </c>
      <c r="U186" s="98">
        <f t="shared" si="195"/>
        <v>0</v>
      </c>
      <c r="V186" s="98">
        <f t="shared" si="187"/>
        <v>0</v>
      </c>
    </row>
    <row r="187" spans="1:32" ht="110.4" customHeight="1" x14ac:dyDescent="0.25">
      <c r="A187" s="97"/>
      <c r="B187" s="97" t="s">
        <v>332</v>
      </c>
      <c r="C187" s="92" t="s">
        <v>602</v>
      </c>
      <c r="D187" s="629" t="s">
        <v>130</v>
      </c>
      <c r="E187" s="104">
        <v>20</v>
      </c>
      <c r="F187" s="579">
        <v>43</v>
      </c>
      <c r="G187" s="104">
        <v>43</v>
      </c>
      <c r="H187" s="104">
        <v>43</v>
      </c>
      <c r="I187" s="104">
        <v>43</v>
      </c>
      <c r="J187" s="99">
        <v>245948.56</v>
      </c>
      <c r="K187" s="99">
        <f>64533.72+16903.56*2</f>
        <v>98340.84</v>
      </c>
      <c r="L187" s="101">
        <v>72362.48</v>
      </c>
      <c r="M187" s="98">
        <f t="shared" si="97"/>
        <v>416651.88</v>
      </c>
      <c r="N187" s="99">
        <f t="shared" si="199"/>
        <v>10575788.08</v>
      </c>
      <c r="O187" s="99">
        <f>G187*K187</f>
        <v>4228656.12</v>
      </c>
      <c r="P187" s="109"/>
      <c r="Q187" s="99">
        <f t="shared" si="201"/>
        <v>3111586.64</v>
      </c>
      <c r="R187" s="99"/>
      <c r="S187" s="99"/>
      <c r="T187" s="98">
        <f t="shared" si="202"/>
        <v>17916030.84</v>
      </c>
      <c r="U187" s="98">
        <f t="shared" si="195"/>
        <v>17916030.84</v>
      </c>
      <c r="V187" s="98">
        <f t="shared" si="187"/>
        <v>17916030.84</v>
      </c>
    </row>
    <row r="188" spans="1:32" ht="62.4" customHeight="1" x14ac:dyDescent="0.25">
      <c r="A188" s="92" t="s">
        <v>132</v>
      </c>
      <c r="B188" s="97" t="s">
        <v>133</v>
      </c>
      <c r="C188" s="97" t="s">
        <v>54</v>
      </c>
      <c r="D188" s="629" t="s">
        <v>130</v>
      </c>
      <c r="E188" s="104">
        <f>E178+E181+E183+E179+E187+E182+E180</f>
        <v>183</v>
      </c>
      <c r="F188" s="673">
        <f>F178+F181+F183+F179+F187+F182+F180</f>
        <v>176</v>
      </c>
      <c r="G188" s="113">
        <f>G178+G181+G183+G179+G187+G182+G180</f>
        <v>182</v>
      </c>
      <c r="H188" s="113">
        <f t="shared" ref="H188:I188" si="203">H178+H181+H183+H179+H187+H182+H180</f>
        <v>182</v>
      </c>
      <c r="I188" s="113">
        <f t="shared" si="203"/>
        <v>182</v>
      </c>
      <c r="J188" s="99">
        <v>0</v>
      </c>
      <c r="K188" s="98">
        <v>0</v>
      </c>
      <c r="L188" s="101">
        <f>61511.06</f>
        <v>61511.06</v>
      </c>
      <c r="M188" s="98">
        <f t="shared" si="97"/>
        <v>61511.06</v>
      </c>
      <c r="N188" s="98">
        <f>G188*J188</f>
        <v>0</v>
      </c>
      <c r="O188" s="98">
        <f>G188*K188</f>
        <v>0</v>
      </c>
      <c r="P188" s="109"/>
      <c r="Q188" s="811">
        <f>G188*L188</f>
        <v>11195012.92</v>
      </c>
      <c r="R188" s="101"/>
      <c r="S188" s="101"/>
      <c r="T188" s="102">
        <f t="shared" si="186"/>
        <v>11195012.92</v>
      </c>
      <c r="U188" s="98">
        <f t="shared" si="195"/>
        <v>11195012.92</v>
      </c>
      <c r="V188" s="98">
        <f>U188</f>
        <v>11195012.92</v>
      </c>
    </row>
    <row r="189" spans="1:32" ht="27.6" customHeight="1" x14ac:dyDescent="0.25">
      <c r="A189" s="483" t="s">
        <v>463</v>
      </c>
      <c r="B189" s="97" t="s">
        <v>133</v>
      </c>
      <c r="C189" s="97" t="s">
        <v>134</v>
      </c>
      <c r="D189" s="629"/>
      <c r="E189" s="109"/>
      <c r="F189" s="104"/>
      <c r="G189" s="113">
        <f>G188</f>
        <v>182</v>
      </c>
      <c r="H189" s="113">
        <f>H188</f>
        <v>182</v>
      </c>
      <c r="I189" s="113">
        <f>I188</f>
        <v>182</v>
      </c>
      <c r="J189" s="99"/>
      <c r="K189" s="98"/>
      <c r="L189" s="101">
        <v>20437.68</v>
      </c>
      <c r="M189" s="98">
        <f t="shared" si="97"/>
        <v>20437.68</v>
      </c>
      <c r="N189" s="109"/>
      <c r="O189" s="98"/>
      <c r="P189" s="109"/>
      <c r="Q189" s="101"/>
      <c r="R189" s="101"/>
      <c r="S189" s="811">
        <f>G189*L189</f>
        <v>3719657.76</v>
      </c>
      <c r="T189" s="102">
        <f>S189</f>
        <v>3719657.76</v>
      </c>
      <c r="U189" s="98">
        <f t="shared" si="195"/>
        <v>3719657.76</v>
      </c>
      <c r="V189" s="98">
        <f>U189</f>
        <v>3719657.76</v>
      </c>
    </row>
    <row r="190" spans="1:32" ht="22.95" customHeight="1" x14ac:dyDescent="0.25">
      <c r="A190" s="872" t="s">
        <v>642</v>
      </c>
      <c r="B190" s="834" t="s">
        <v>634</v>
      </c>
      <c r="C190" s="97"/>
      <c r="D190" s="19" t="s">
        <v>24</v>
      </c>
      <c r="E190" s="104"/>
      <c r="F190" s="104">
        <v>20</v>
      </c>
      <c r="G190" s="104">
        <v>20</v>
      </c>
      <c r="H190" s="104">
        <v>0</v>
      </c>
      <c r="I190" s="104">
        <v>0</v>
      </c>
      <c r="J190" s="99">
        <v>0</v>
      </c>
      <c r="K190" s="99"/>
      <c r="L190" s="101"/>
      <c r="M190" s="99">
        <f>J190+K190+L190</f>
        <v>0</v>
      </c>
      <c r="N190" s="99">
        <v>0</v>
      </c>
      <c r="O190" s="99"/>
      <c r="P190" s="104"/>
      <c r="Q190" s="99"/>
      <c r="R190" s="99"/>
      <c r="S190" s="105"/>
      <c r="T190" s="99">
        <f>SUM(N190:Q190)</f>
        <v>0</v>
      </c>
      <c r="U190" s="105"/>
      <c r="V190" s="105"/>
    </row>
    <row r="191" spans="1:32" ht="60" customHeight="1" x14ac:dyDescent="0.25">
      <c r="A191" s="873"/>
      <c r="B191" s="835"/>
      <c r="C191" s="92" t="s">
        <v>635</v>
      </c>
      <c r="D191" s="410" t="s">
        <v>232</v>
      </c>
      <c r="E191" s="104">
        <v>0</v>
      </c>
      <c r="F191" s="104">
        <f>26*F190</f>
        <v>520</v>
      </c>
      <c r="G191" s="113">
        <f>17*2*G190</f>
        <v>680</v>
      </c>
      <c r="H191" s="104">
        <v>0</v>
      </c>
      <c r="I191" s="104">
        <v>0</v>
      </c>
      <c r="J191" s="101">
        <v>341.19</v>
      </c>
      <c r="K191" s="99"/>
      <c r="L191" s="101"/>
      <c r="M191" s="99">
        <f>J191+K191+L191</f>
        <v>341.19</v>
      </c>
      <c r="N191" s="101">
        <f>(G191*J191-263.85)+8330</f>
        <v>240075.35</v>
      </c>
      <c r="O191" s="99"/>
      <c r="P191" s="104"/>
      <c r="Q191" s="99"/>
      <c r="R191" s="99"/>
      <c r="S191" s="105"/>
      <c r="T191" s="101">
        <f>SUM(N191:Q191)</f>
        <v>240075.35</v>
      </c>
      <c r="U191" s="99">
        <f>H191*J191</f>
        <v>0</v>
      </c>
      <c r="V191" s="99">
        <f>I191*J191</f>
        <v>0</v>
      </c>
    </row>
    <row r="192" spans="1:32" ht="24" customHeight="1" x14ac:dyDescent="0.25">
      <c r="A192" s="872" t="s">
        <v>642</v>
      </c>
      <c r="B192" s="834" t="s">
        <v>634</v>
      </c>
      <c r="C192" s="97"/>
      <c r="D192" s="19" t="s">
        <v>24</v>
      </c>
      <c r="E192" s="104"/>
      <c r="F192" s="104">
        <v>20</v>
      </c>
      <c r="G192" s="674">
        <v>15</v>
      </c>
      <c r="H192" s="674">
        <v>15</v>
      </c>
      <c r="I192" s="104">
        <v>0</v>
      </c>
      <c r="J192" s="99">
        <v>0</v>
      </c>
      <c r="K192" s="99"/>
      <c r="L192" s="101"/>
      <c r="M192" s="99">
        <f>J192+K192+L192</f>
        <v>0</v>
      </c>
      <c r="N192" s="99">
        <v>0</v>
      </c>
      <c r="O192" s="99"/>
      <c r="P192" s="104"/>
      <c r="Q192" s="99"/>
      <c r="R192" s="99"/>
      <c r="S192" s="105"/>
      <c r="T192" s="99">
        <f>SUM(N192:Q192)</f>
        <v>0</v>
      </c>
      <c r="U192" s="105"/>
      <c r="V192" s="105"/>
    </row>
    <row r="193" spans="1:23" ht="59.4" customHeight="1" x14ac:dyDescent="0.25">
      <c r="A193" s="873"/>
      <c r="B193" s="835"/>
      <c r="C193" s="92" t="s">
        <v>636</v>
      </c>
      <c r="D193" s="410" t="s">
        <v>232</v>
      </c>
      <c r="E193" s="104">
        <v>0</v>
      </c>
      <c r="F193" s="104">
        <f>26*F192</f>
        <v>520</v>
      </c>
      <c r="G193" s="108">
        <f>14*2*G192</f>
        <v>420</v>
      </c>
      <c r="H193" s="108">
        <f>20*2*H192</f>
        <v>600</v>
      </c>
      <c r="I193" s="104">
        <v>0</v>
      </c>
      <c r="J193" s="107">
        <v>341.19</v>
      </c>
      <c r="K193" s="99"/>
      <c r="L193" s="101"/>
      <c r="M193" s="99">
        <f>J193+K193+L193</f>
        <v>341.19</v>
      </c>
      <c r="N193" s="107">
        <f>(G193*J193+629.2)+4746.1</f>
        <v>148675.1</v>
      </c>
      <c r="O193" s="99"/>
      <c r="P193" s="104"/>
      <c r="Q193" s="99"/>
      <c r="R193" s="99"/>
      <c r="S193" s="105"/>
      <c r="T193" s="107">
        <f>SUM(N193:Q193)</f>
        <v>148675.1</v>
      </c>
      <c r="U193" s="107">
        <f>H193*J193+12275.57</f>
        <v>216989.57</v>
      </c>
      <c r="V193" s="99">
        <f>I193*J193</f>
        <v>0</v>
      </c>
    </row>
    <row r="194" spans="1:23" ht="22.95" customHeight="1" x14ac:dyDescent="0.25">
      <c r="A194" s="874" t="s">
        <v>645</v>
      </c>
      <c r="B194" s="875"/>
      <c r="C194" s="876"/>
      <c r="D194" s="734" t="s">
        <v>24</v>
      </c>
      <c r="E194" s="735"/>
      <c r="F194" s="735"/>
      <c r="G194" s="736">
        <f t="shared" ref="G194:I195" si="204">G190+G192</f>
        <v>35</v>
      </c>
      <c r="H194" s="736">
        <f t="shared" si="204"/>
        <v>15</v>
      </c>
      <c r="I194" s="735">
        <f t="shared" si="204"/>
        <v>0</v>
      </c>
      <c r="J194" s="737"/>
      <c r="K194" s="738"/>
      <c r="L194" s="739"/>
      <c r="M194" s="738"/>
      <c r="N194" s="737"/>
      <c r="O194" s="738"/>
      <c r="P194" s="735"/>
      <c r="Q194" s="738"/>
      <c r="R194" s="738"/>
      <c r="S194" s="740"/>
      <c r="T194" s="737"/>
      <c r="U194" s="737"/>
      <c r="V194" s="738"/>
    </row>
    <row r="195" spans="1:23" ht="25.95" customHeight="1" x14ac:dyDescent="0.25">
      <c r="A195" s="877"/>
      <c r="B195" s="878"/>
      <c r="C195" s="879"/>
      <c r="D195" s="741" t="s">
        <v>232</v>
      </c>
      <c r="E195" s="735"/>
      <c r="F195" s="735">
        <v>20</v>
      </c>
      <c r="G195" s="736">
        <f t="shared" si="204"/>
        <v>1100</v>
      </c>
      <c r="H195" s="736">
        <f t="shared" si="204"/>
        <v>600</v>
      </c>
      <c r="I195" s="735">
        <f t="shared" si="204"/>
        <v>0</v>
      </c>
      <c r="J195" s="737"/>
      <c r="K195" s="738"/>
      <c r="L195" s="739"/>
      <c r="M195" s="738"/>
      <c r="N195" s="737">
        <f>N191+N193</f>
        <v>388750.45</v>
      </c>
      <c r="O195" s="738"/>
      <c r="P195" s="735"/>
      <c r="Q195" s="738"/>
      <c r="R195" s="738"/>
      <c r="S195" s="740"/>
      <c r="T195" s="737">
        <f>SUM(N195:S195)</f>
        <v>388750.45</v>
      </c>
      <c r="U195" s="737">
        <f>U191+U193</f>
        <v>216989.57</v>
      </c>
      <c r="V195" s="738">
        <f>V191+V193</f>
        <v>0</v>
      </c>
    </row>
    <row r="196" spans="1:23" ht="21" customHeight="1" x14ac:dyDescent="0.25">
      <c r="A196" s="872" t="s">
        <v>641</v>
      </c>
      <c r="B196" s="834" t="s">
        <v>634</v>
      </c>
      <c r="C196" s="97"/>
      <c r="D196" s="19" t="s">
        <v>24</v>
      </c>
      <c r="E196" s="104"/>
      <c r="F196" s="104">
        <v>20</v>
      </c>
      <c r="G196" s="108">
        <v>15</v>
      </c>
      <c r="H196" s="108">
        <v>15</v>
      </c>
      <c r="I196" s="104">
        <v>0</v>
      </c>
      <c r="J196" s="99">
        <v>0</v>
      </c>
      <c r="K196" s="99"/>
      <c r="L196" s="101"/>
      <c r="M196" s="99">
        <f>J196+K196+L196</f>
        <v>0</v>
      </c>
      <c r="N196" s="99">
        <v>0</v>
      </c>
      <c r="O196" s="99"/>
      <c r="P196" s="104"/>
      <c r="Q196" s="99"/>
      <c r="R196" s="99"/>
      <c r="S196" s="105"/>
      <c r="T196" s="99">
        <f>SUM(N196:Q196)</f>
        <v>0</v>
      </c>
      <c r="U196" s="99">
        <v>0</v>
      </c>
      <c r="V196" s="99">
        <v>0</v>
      </c>
    </row>
    <row r="197" spans="1:23" ht="63" customHeight="1" x14ac:dyDescent="0.25">
      <c r="A197" s="873"/>
      <c r="B197" s="835"/>
      <c r="C197" s="92" t="s">
        <v>636</v>
      </c>
      <c r="D197" s="410" t="s">
        <v>232</v>
      </c>
      <c r="E197" s="104">
        <v>0</v>
      </c>
      <c r="F197" s="104">
        <f>26*F196</f>
        <v>520</v>
      </c>
      <c r="G197" s="108">
        <f>15*1*G196</f>
        <v>225</v>
      </c>
      <c r="H197" s="108">
        <f>20*1*H196</f>
        <v>300</v>
      </c>
      <c r="I197" s="104">
        <v>0</v>
      </c>
      <c r="J197" s="107">
        <v>341.2</v>
      </c>
      <c r="K197" s="99"/>
      <c r="L197" s="101"/>
      <c r="M197" s="99">
        <f>J197+K197+L197</f>
        <v>341.2</v>
      </c>
      <c r="N197" s="107">
        <f>(G197*J197+629.2)+4746.1</f>
        <v>82145.3</v>
      </c>
      <c r="O197" s="99"/>
      <c r="P197" s="104"/>
      <c r="Q197" s="99"/>
      <c r="R197" s="99"/>
      <c r="S197" s="105"/>
      <c r="T197" s="107">
        <f>SUM(N197:Q197)</f>
        <v>82145.3</v>
      </c>
      <c r="U197" s="107">
        <f>H197*J197+6342.57</f>
        <v>108702.57</v>
      </c>
      <c r="V197" s="99">
        <f>I197*J197</f>
        <v>0</v>
      </c>
    </row>
    <row r="198" spans="1:23" ht="21" customHeight="1" x14ac:dyDescent="0.25">
      <c r="A198" s="874" t="s">
        <v>646</v>
      </c>
      <c r="B198" s="875"/>
      <c r="C198" s="876"/>
      <c r="D198" s="734" t="s">
        <v>24</v>
      </c>
      <c r="E198" s="735"/>
      <c r="F198" s="735"/>
      <c r="G198" s="812">
        <f>G194+G196</f>
        <v>50</v>
      </c>
      <c r="H198" s="812"/>
      <c r="I198" s="735"/>
      <c r="J198" s="739"/>
      <c r="K198" s="738"/>
      <c r="L198" s="739"/>
      <c r="M198" s="738"/>
      <c r="N198" s="737"/>
      <c r="O198" s="738"/>
      <c r="P198" s="735"/>
      <c r="Q198" s="738"/>
      <c r="R198" s="738"/>
      <c r="S198" s="740"/>
      <c r="T198" s="737"/>
      <c r="U198" s="737"/>
      <c r="V198" s="738"/>
    </row>
    <row r="199" spans="1:23" ht="30.6" customHeight="1" x14ac:dyDescent="0.25">
      <c r="A199" s="877"/>
      <c r="B199" s="878"/>
      <c r="C199" s="879"/>
      <c r="D199" s="741" t="s">
        <v>232</v>
      </c>
      <c r="E199" s="735"/>
      <c r="F199" s="735">
        <v>20</v>
      </c>
      <c r="G199" s="812">
        <f>G191+G193+G197</f>
        <v>1325</v>
      </c>
      <c r="H199" s="812">
        <f>H196</f>
        <v>15</v>
      </c>
      <c r="I199" s="735">
        <f>I196</f>
        <v>0</v>
      </c>
      <c r="J199" s="738" t="s">
        <v>26</v>
      </c>
      <c r="K199" s="738" t="s">
        <v>26</v>
      </c>
      <c r="L199" s="739" t="s">
        <v>26</v>
      </c>
      <c r="M199" s="738"/>
      <c r="N199" s="739">
        <f>N195+N197</f>
        <v>470895.75</v>
      </c>
      <c r="O199" s="738"/>
      <c r="P199" s="735"/>
      <c r="Q199" s="738"/>
      <c r="R199" s="738"/>
      <c r="S199" s="740"/>
      <c r="T199" s="739">
        <f>SUM(N199:S199)</f>
        <v>470895.75</v>
      </c>
      <c r="U199" s="739">
        <f>U195+U197</f>
        <v>325692.14</v>
      </c>
      <c r="V199" s="738">
        <v>0</v>
      </c>
    </row>
    <row r="200" spans="1:23" ht="30.6" customHeight="1" x14ac:dyDescent="0.25">
      <c r="A200" s="621" t="s">
        <v>150</v>
      </c>
      <c r="B200" s="622"/>
      <c r="C200" s="622"/>
      <c r="D200" s="622"/>
      <c r="E200" s="622"/>
      <c r="F200" s="622"/>
      <c r="G200" s="648">
        <f>G189+G169+G156+G137+G100+G84+G69+G55+G41+G23</f>
        <v>1077</v>
      </c>
      <c r="H200" s="622"/>
      <c r="I200" s="622"/>
      <c r="J200" s="622"/>
      <c r="K200" s="622"/>
      <c r="L200" s="622"/>
      <c r="M200" s="623"/>
      <c r="N200" s="101">
        <f>N12+N27+N42+N56+N70+N88+N104+N146+N157+N176</f>
        <v>176306798.25999999</v>
      </c>
      <c r="O200" s="101">
        <f>O12+O27+O42+O56+O70+O88+O104+O146+O157+O176</f>
        <v>72081863.25</v>
      </c>
      <c r="P200" s="101">
        <f>P12+P27+P42+P56+P70+P88+P104+P146+P157+P176</f>
        <v>0</v>
      </c>
      <c r="Q200" s="107">
        <f>Q12+Q27+Q42+Q56+Q70+Q88+Q104+Q146+Q157+Q176</f>
        <v>155405490.91</v>
      </c>
      <c r="R200" s="101" t="e">
        <f>R12+R27+#REF!+R42+R56+R70+R88+R104+R146+R157+R176+1</f>
        <v>#REF!</v>
      </c>
      <c r="S200" s="107">
        <f>S12+S27+S42+S56+S70+S88+S104+S146+S157+S176</f>
        <v>22011381.359999999</v>
      </c>
      <c r="T200" s="101">
        <f>T12+T27+T42+T56+T70+T88+T104+T146+T157+T176</f>
        <v>422971329.88</v>
      </c>
      <c r="U200" s="102">
        <f>U12+U27+U42+U56+U70+U88+U104+U146+U157+U176</f>
        <v>422712979.63999999</v>
      </c>
      <c r="V200" s="102">
        <f>V12+V27+V42+V56+V70+V88+V104+V146+V157+V176</f>
        <v>421520534.63999999</v>
      </c>
      <c r="W200" s="93"/>
    </row>
    <row r="201" spans="1:23" ht="15" customHeight="1" x14ac:dyDescent="0.25">
      <c r="A201" s="83" t="s">
        <v>151</v>
      </c>
      <c r="C201" s="120"/>
      <c r="D201" s="121"/>
      <c r="E201" s="121"/>
      <c r="F201" s="120"/>
      <c r="G201" s="120"/>
      <c r="H201" s="121"/>
      <c r="I201" s="121"/>
      <c r="J201" s="120"/>
      <c r="K201" s="121"/>
      <c r="L201" s="120"/>
      <c r="M201" s="121"/>
      <c r="N201" s="122"/>
      <c r="O201" s="122"/>
      <c r="P201" s="122"/>
      <c r="Q201" s="123" t="e">
        <f>#REF!+#REF!+#REF!+#REF!+#REF!+#REF!+#REF!+#REF!+#REF!+#REF!+#REF!</f>
        <v>#REF!</v>
      </c>
      <c r="R201" s="124"/>
      <c r="S201" s="124"/>
      <c r="T201" s="125" t="e">
        <f>#REF!+#REF!+#REF!+#REF!+#REF!+#REF!+#REF!+#REF!+#REF!+#REF!+#REF!</f>
        <v>#REF!</v>
      </c>
      <c r="U201" s="121"/>
      <c r="V201" s="122"/>
    </row>
    <row r="202" spans="1:23" ht="16.2" customHeight="1" x14ac:dyDescent="0.25">
      <c r="A202" s="83" t="s">
        <v>78</v>
      </c>
      <c r="N202" s="126"/>
      <c r="P202" s="127"/>
      <c r="Q202" s="93"/>
      <c r="U202" s="127"/>
      <c r="V202" s="122"/>
    </row>
    <row r="203" spans="1:23" x14ac:dyDescent="0.25">
      <c r="N203" s="127"/>
      <c r="U203" s="127"/>
    </row>
    <row r="206" spans="1:23" ht="21" customHeight="1" x14ac:dyDescent="0.25"/>
    <row r="209" spans="13:19" hidden="1" x14ac:dyDescent="0.25">
      <c r="M209" s="767" t="s">
        <v>579</v>
      </c>
      <c r="N209" s="768">
        <f>N191+N171+N139+N86</f>
        <v>833000</v>
      </c>
      <c r="Q209" s="93">
        <f>Q13+Q28+Q43+Q57+Q71+Q89+Q105+Q147+Q158+Q177-1.45</f>
        <v>81680526.620000005</v>
      </c>
      <c r="S209" s="83" t="s">
        <v>578</v>
      </c>
    </row>
    <row r="210" spans="13:19" hidden="1" x14ac:dyDescent="0.25">
      <c r="Q210" s="93">
        <f>Q22+Q40+Q54+Q68+Q83+Q99+Q136+Q155+Q168+Q188</f>
        <v>73724962.840000004</v>
      </c>
      <c r="S210" s="83" t="s">
        <v>577</v>
      </c>
    </row>
    <row r="211" spans="13:19" hidden="1" x14ac:dyDescent="0.25">
      <c r="Q211" s="93">
        <f>Q210+Q209</f>
        <v>155405489.46000001</v>
      </c>
    </row>
    <row r="212" spans="13:19" hidden="1" x14ac:dyDescent="0.25">
      <c r="S212" s="93"/>
    </row>
    <row r="213" spans="13:19" hidden="1" x14ac:dyDescent="0.25">
      <c r="Q213" s="93">
        <f>Q211-Q200</f>
        <v>-1.45</v>
      </c>
    </row>
  </sheetData>
  <mergeCells count="55">
    <mergeCell ref="B85:B86"/>
    <mergeCell ref="A85:A86"/>
    <mergeCell ref="A101:A102"/>
    <mergeCell ref="B101:B102"/>
    <mergeCell ref="A140:A141"/>
    <mergeCell ref="B140:B141"/>
    <mergeCell ref="A138:A139"/>
    <mergeCell ref="B138:B139"/>
    <mergeCell ref="C72:C73"/>
    <mergeCell ref="C81:C82"/>
    <mergeCell ref="C75:C77"/>
    <mergeCell ref="C92:C94"/>
    <mergeCell ref="C109:C118"/>
    <mergeCell ref="C79:C80"/>
    <mergeCell ref="C97:C98"/>
    <mergeCell ref="C34:C37"/>
    <mergeCell ref="C44:C45"/>
    <mergeCell ref="C46:C47"/>
    <mergeCell ref="C48:C50"/>
    <mergeCell ref="C61:C65"/>
    <mergeCell ref="C124:C125"/>
    <mergeCell ref="C179:C183"/>
    <mergeCell ref="C107:C108"/>
    <mergeCell ref="C126:C131"/>
    <mergeCell ref="C132:C135"/>
    <mergeCell ref="C150:C154"/>
    <mergeCell ref="C161:C167"/>
    <mergeCell ref="C119:C123"/>
    <mergeCell ref="A174:C175"/>
    <mergeCell ref="A172:A173"/>
    <mergeCell ref="B172:B173"/>
    <mergeCell ref="A170:A171"/>
    <mergeCell ref="B170:B171"/>
    <mergeCell ref="A142:A143"/>
    <mergeCell ref="B142:B143"/>
    <mergeCell ref="A144:C145"/>
    <mergeCell ref="A5:V5"/>
    <mergeCell ref="C16:C21"/>
    <mergeCell ref="C14:C15"/>
    <mergeCell ref="C30:C31"/>
    <mergeCell ref="C32:C33"/>
    <mergeCell ref="E9:I9"/>
    <mergeCell ref="J9:M9"/>
    <mergeCell ref="N9:V9"/>
    <mergeCell ref="N10:T10"/>
    <mergeCell ref="A24:A25"/>
    <mergeCell ref="B24:B25"/>
    <mergeCell ref="A190:A191"/>
    <mergeCell ref="B190:B191"/>
    <mergeCell ref="A198:C199"/>
    <mergeCell ref="A194:C195"/>
    <mergeCell ref="A192:A193"/>
    <mergeCell ref="B192:B193"/>
    <mergeCell ref="A196:A197"/>
    <mergeCell ref="B196:B197"/>
  </mergeCells>
  <pageMargins left="0.39370078740157483" right="0" top="0" bottom="0" header="0.31496062992125984" footer="0.31496062992125984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AT39"/>
  <sheetViews>
    <sheetView zoomScale="81" zoomScaleNormal="81" workbookViewId="0">
      <selection activeCell="Y12" sqref="Y12"/>
    </sheetView>
  </sheetViews>
  <sheetFormatPr defaultColWidth="8.88671875" defaultRowHeight="13.8" x14ac:dyDescent="0.25"/>
  <cols>
    <col min="1" max="1" width="17.5546875" style="48" customWidth="1"/>
    <col min="2" max="2" width="14.5546875" style="48" customWidth="1"/>
    <col min="3" max="3" width="8.5546875" style="48" hidden="1" customWidth="1"/>
    <col min="4" max="4" width="14.44140625" style="48" customWidth="1"/>
    <col min="5" max="5" width="14.6640625" style="48" customWidth="1"/>
    <col min="6" max="6" width="15.5546875" style="48" customWidth="1"/>
    <col min="7" max="8" width="16.6640625" style="128" customWidth="1"/>
    <col min="9" max="9" width="16.6640625" style="48" customWidth="1"/>
    <col min="10" max="10" width="15" style="48" customWidth="1"/>
    <col min="11" max="12" width="14.88671875" style="48" customWidth="1"/>
    <col min="13" max="13" width="16.33203125" style="48" customWidth="1"/>
    <col min="14" max="14" width="15.6640625" style="48" customWidth="1"/>
    <col min="15" max="15" width="0" style="48" hidden="1" customWidth="1"/>
    <col min="16" max="16" width="8.88671875" style="49"/>
    <col min="17" max="17" width="0" style="49" hidden="1" customWidth="1"/>
    <col min="18" max="19" width="8.88671875" style="49"/>
    <col min="20" max="20" width="15.109375" style="48" customWidth="1"/>
    <col min="21" max="21" width="12.33203125" style="48" customWidth="1"/>
    <col min="22" max="22" width="13.6640625" style="48" customWidth="1"/>
    <col min="23" max="25" width="14.6640625" style="48" customWidth="1"/>
    <col min="26" max="26" width="16.6640625" style="48" customWidth="1"/>
    <col min="27" max="27" width="15.5546875" style="48" customWidth="1"/>
    <col min="28" max="28" width="14.88671875" style="48" customWidth="1"/>
    <col min="29" max="29" width="16.6640625" style="48" customWidth="1"/>
    <col min="30" max="30" width="17.5546875" style="128" customWidth="1"/>
    <col min="31" max="31" width="14" style="48" hidden="1" customWidth="1"/>
    <col min="32" max="33" width="15.6640625" style="48" hidden="1" customWidth="1"/>
    <col min="34" max="34" width="17.33203125" style="48" hidden="1" customWidth="1"/>
    <col min="35" max="35" width="17.88671875" style="48" hidden="1" customWidth="1"/>
    <col min="36" max="36" width="17.33203125" style="48" customWidth="1"/>
    <col min="37" max="37" width="18" style="48" customWidth="1"/>
    <col min="38" max="38" width="17.6640625" style="48" hidden="1" customWidth="1"/>
    <col min="39" max="39" width="12.88671875" style="48" hidden="1" customWidth="1"/>
    <col min="40" max="40" width="16.6640625" style="48" customWidth="1"/>
    <col min="41" max="41" width="12.5546875" style="48" hidden="1" customWidth="1"/>
    <col min="42" max="16384" width="8.88671875" style="48"/>
  </cols>
  <sheetData>
    <row r="2" spans="1:46" x14ac:dyDescent="0.25">
      <c r="AB2" s="867" t="s">
        <v>88</v>
      </c>
      <c r="AC2" s="867"/>
    </row>
    <row r="3" spans="1:46" x14ac:dyDescent="0.25">
      <c r="AB3" s="868" t="s">
        <v>656</v>
      </c>
      <c r="AC3" s="868"/>
    </row>
    <row r="4" spans="1:46" x14ac:dyDescent="0.25">
      <c r="A4" s="129"/>
      <c r="B4" s="129"/>
      <c r="C4" s="129"/>
      <c r="D4" s="129"/>
      <c r="E4" s="129"/>
      <c r="F4" s="129"/>
      <c r="G4" s="130"/>
      <c r="H4" s="130"/>
      <c r="I4" s="129"/>
      <c r="J4" s="129"/>
      <c r="K4" s="129"/>
      <c r="L4" s="129"/>
      <c r="M4" s="129"/>
      <c r="N4" s="129"/>
      <c r="O4" s="129"/>
      <c r="P4" s="131"/>
      <c r="Q4" s="131"/>
      <c r="R4" s="131"/>
      <c r="S4" s="131"/>
      <c r="T4" s="129"/>
      <c r="U4" s="129"/>
      <c r="V4" s="129"/>
      <c r="W4" s="129"/>
      <c r="X4" s="129"/>
      <c r="Y4" s="129"/>
      <c r="AD4" s="924"/>
      <c r="AE4" s="924"/>
      <c r="AF4" s="924"/>
      <c r="AG4" s="924"/>
      <c r="AH4" s="924"/>
      <c r="AI4" s="924"/>
      <c r="AJ4" s="924"/>
    </row>
    <row r="5" spans="1:46" ht="18" x14ac:dyDescent="0.35">
      <c r="A5" s="925" t="s">
        <v>567</v>
      </c>
      <c r="B5" s="925"/>
      <c r="C5" s="925"/>
      <c r="D5" s="925"/>
      <c r="E5" s="925"/>
      <c r="F5" s="925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925"/>
      <c r="R5" s="925"/>
      <c r="S5" s="925"/>
      <c r="T5" s="925"/>
      <c r="U5" s="925"/>
      <c r="V5" s="925"/>
      <c r="W5" s="925"/>
      <c r="X5" s="925"/>
      <c r="Y5" s="925"/>
      <c r="AC5" s="75"/>
      <c r="AD5" s="48"/>
    </row>
    <row r="6" spans="1:46" x14ac:dyDescent="0.25">
      <c r="A6" s="926" t="s">
        <v>152</v>
      </c>
      <c r="B6" s="926"/>
      <c r="C6" s="926"/>
      <c r="D6" s="926"/>
      <c r="E6" s="926"/>
      <c r="F6" s="132"/>
      <c r="G6" s="133"/>
      <c r="H6" s="133"/>
      <c r="I6" s="132"/>
      <c r="J6" s="132"/>
      <c r="K6" s="132"/>
      <c r="L6" s="132"/>
      <c r="M6" s="132"/>
      <c r="N6" s="134"/>
      <c r="O6" s="134"/>
      <c r="P6" s="135"/>
      <c r="Q6" s="135"/>
      <c r="R6" s="135"/>
      <c r="S6" s="135"/>
      <c r="T6" s="132"/>
      <c r="U6" s="132"/>
      <c r="V6" s="132"/>
      <c r="W6" s="132"/>
      <c r="X6" s="132"/>
      <c r="Y6" s="134"/>
      <c r="Z6" s="132"/>
      <c r="AA6" s="132"/>
      <c r="AB6" s="132"/>
      <c r="AC6" s="132"/>
      <c r="AD6" s="133"/>
    </row>
    <row r="7" spans="1:46" ht="78" customHeight="1" x14ac:dyDescent="0.25">
      <c r="A7" s="922" t="s">
        <v>2</v>
      </c>
      <c r="B7" s="935" t="s">
        <v>8</v>
      </c>
      <c r="C7" s="939"/>
      <c r="D7" s="939"/>
      <c r="E7" s="936"/>
      <c r="F7" s="927" t="s">
        <v>153</v>
      </c>
      <c r="G7" s="935" t="s">
        <v>154</v>
      </c>
      <c r="H7" s="939"/>
      <c r="I7" s="939"/>
      <c r="J7" s="939"/>
      <c r="K7" s="939"/>
      <c r="L7" s="939"/>
      <c r="M7" s="939"/>
      <c r="N7" s="939"/>
      <c r="O7" s="136"/>
      <c r="P7" s="859" t="s">
        <v>568</v>
      </c>
      <c r="Q7" s="860"/>
      <c r="R7" s="860"/>
      <c r="S7" s="861"/>
      <c r="T7" s="935" t="s">
        <v>337</v>
      </c>
      <c r="U7" s="939"/>
      <c r="V7" s="939"/>
      <c r="W7" s="939"/>
      <c r="X7" s="939"/>
      <c r="Y7" s="939"/>
      <c r="Z7" s="939"/>
      <c r="AA7" s="939"/>
      <c r="AB7" s="936"/>
      <c r="AC7" s="918" t="s">
        <v>168</v>
      </c>
      <c r="AD7" s="137" t="s">
        <v>337</v>
      </c>
      <c r="AE7" s="917" t="s">
        <v>136</v>
      </c>
      <c r="AF7" s="917" t="s">
        <v>128</v>
      </c>
      <c r="AG7" s="932" t="s">
        <v>155</v>
      </c>
      <c r="AH7" s="932" t="s">
        <v>156</v>
      </c>
      <c r="AI7" s="917" t="s">
        <v>2</v>
      </c>
      <c r="AJ7" s="138" t="s">
        <v>435</v>
      </c>
      <c r="AK7" s="138" t="s">
        <v>569</v>
      </c>
      <c r="AL7" s="922" t="s">
        <v>2</v>
      </c>
      <c r="AM7" s="139" t="s">
        <v>584</v>
      </c>
      <c r="AN7" s="139"/>
      <c r="AO7" s="139"/>
      <c r="AP7" s="139"/>
      <c r="AQ7" s="139"/>
      <c r="AR7" s="139"/>
      <c r="AS7" s="139"/>
    </row>
    <row r="8" spans="1:46" ht="31.2" customHeight="1" x14ac:dyDescent="0.25">
      <c r="A8" s="923"/>
      <c r="B8" s="494"/>
      <c r="C8" s="724"/>
      <c r="D8" s="494"/>
      <c r="E8" s="494"/>
      <c r="F8" s="927"/>
      <c r="G8" s="935" t="s">
        <v>157</v>
      </c>
      <c r="H8" s="939"/>
      <c r="I8" s="936"/>
      <c r="J8" s="923" t="s">
        <v>158</v>
      </c>
      <c r="K8" s="923"/>
      <c r="L8" s="923"/>
      <c r="M8" s="923"/>
      <c r="N8" s="494"/>
      <c r="O8" s="495"/>
      <c r="T8" s="937" t="s">
        <v>304</v>
      </c>
      <c r="U8" s="725"/>
      <c r="V8" s="937" t="s">
        <v>303</v>
      </c>
      <c r="W8" s="937" t="s">
        <v>167</v>
      </c>
      <c r="X8" s="935" t="s">
        <v>286</v>
      </c>
      <c r="Y8" s="936"/>
      <c r="Z8" s="931" t="s">
        <v>302</v>
      </c>
      <c r="AA8" s="929" t="s">
        <v>287</v>
      </c>
      <c r="AB8" s="930"/>
      <c r="AC8" s="919"/>
      <c r="AD8" s="140"/>
      <c r="AE8" s="917"/>
      <c r="AF8" s="917"/>
      <c r="AG8" s="933"/>
      <c r="AH8" s="933"/>
      <c r="AI8" s="917"/>
      <c r="AJ8" s="344"/>
      <c r="AK8" s="141"/>
      <c r="AL8" s="923"/>
      <c r="AM8" s="142"/>
    </row>
    <row r="9" spans="1:46" ht="134.4" customHeight="1" x14ac:dyDescent="0.25">
      <c r="A9" s="923"/>
      <c r="B9" s="138" t="s">
        <v>128</v>
      </c>
      <c r="C9" s="58" t="s">
        <v>542</v>
      </c>
      <c r="D9" s="138" t="s">
        <v>159</v>
      </c>
      <c r="E9" s="138" t="s">
        <v>160</v>
      </c>
      <c r="F9" s="928"/>
      <c r="G9" s="140" t="s">
        <v>161</v>
      </c>
      <c r="H9" s="58" t="s">
        <v>542</v>
      </c>
      <c r="I9" s="138" t="s">
        <v>162</v>
      </c>
      <c r="J9" s="339" t="s">
        <v>283</v>
      </c>
      <c r="K9" s="339" t="s">
        <v>163</v>
      </c>
      <c r="L9" s="63" t="s">
        <v>284</v>
      </c>
      <c r="M9" s="63" t="s">
        <v>285</v>
      </c>
      <c r="N9" s="79" t="s">
        <v>9</v>
      </c>
      <c r="O9" s="143" t="s">
        <v>101</v>
      </c>
      <c r="P9" s="63" t="s">
        <v>164</v>
      </c>
      <c r="Q9" s="726" t="s">
        <v>580</v>
      </c>
      <c r="R9" s="144" t="s">
        <v>165</v>
      </c>
      <c r="S9" s="63" t="s">
        <v>166</v>
      </c>
      <c r="T9" s="938"/>
      <c r="U9" s="59" t="s">
        <v>543</v>
      </c>
      <c r="V9" s="938"/>
      <c r="W9" s="938"/>
      <c r="X9" s="339" t="s">
        <v>283</v>
      </c>
      <c r="Y9" s="343" t="s">
        <v>288</v>
      </c>
      <c r="Z9" s="922"/>
      <c r="AA9" s="363" t="s">
        <v>128</v>
      </c>
      <c r="AB9" s="363" t="s">
        <v>159</v>
      </c>
      <c r="AC9" s="920"/>
      <c r="AD9" s="140" t="s">
        <v>169</v>
      </c>
      <c r="AE9" s="917"/>
      <c r="AF9" s="917"/>
      <c r="AG9" s="934"/>
      <c r="AH9" s="934"/>
      <c r="AI9" s="917"/>
      <c r="AJ9" s="145" t="s">
        <v>169</v>
      </c>
      <c r="AK9" s="145" t="s">
        <v>169</v>
      </c>
      <c r="AL9" s="923"/>
      <c r="AT9" s="146"/>
    </row>
    <row r="10" spans="1:46" ht="31.2" customHeight="1" x14ac:dyDescent="0.25">
      <c r="A10" s="138" t="s">
        <v>18</v>
      </c>
      <c r="B10" s="63" t="s">
        <v>21</v>
      </c>
      <c r="C10" s="63" t="s">
        <v>21</v>
      </c>
      <c r="D10" s="63" t="s">
        <v>21</v>
      </c>
      <c r="E10" s="63" t="s">
        <v>21</v>
      </c>
      <c r="F10" s="63" t="s">
        <v>21</v>
      </c>
      <c r="G10" s="140" t="s">
        <v>21</v>
      </c>
      <c r="H10" s="140"/>
      <c r="I10" s="63" t="s">
        <v>21</v>
      </c>
      <c r="J10" s="63" t="s">
        <v>21</v>
      </c>
      <c r="K10" s="63" t="s">
        <v>21</v>
      </c>
      <c r="L10" s="63" t="s">
        <v>21</v>
      </c>
      <c r="M10" s="63" t="s">
        <v>21</v>
      </c>
      <c r="N10" s="63" t="s">
        <v>21</v>
      </c>
      <c r="O10" s="63" t="s">
        <v>21</v>
      </c>
      <c r="P10" s="63"/>
      <c r="Q10" s="63"/>
      <c r="R10" s="63"/>
      <c r="S10" s="63"/>
      <c r="T10" s="63" t="s">
        <v>21</v>
      </c>
      <c r="U10" s="63" t="s">
        <v>21</v>
      </c>
      <c r="V10" s="63" t="s">
        <v>21</v>
      </c>
      <c r="W10" s="63" t="s">
        <v>21</v>
      </c>
      <c r="X10" s="63" t="s">
        <v>21</v>
      </c>
      <c r="Y10" s="63" t="s">
        <v>21</v>
      </c>
      <c r="Z10" s="63" t="s">
        <v>21</v>
      </c>
      <c r="AA10" s="363" t="s">
        <v>21</v>
      </c>
      <c r="AB10" s="363" t="s">
        <v>21</v>
      </c>
      <c r="AC10" s="63" t="s">
        <v>21</v>
      </c>
      <c r="AD10" s="140" t="s">
        <v>21</v>
      </c>
      <c r="AE10" s="63" t="s">
        <v>21</v>
      </c>
      <c r="AF10" s="63" t="s">
        <v>21</v>
      </c>
      <c r="AG10" s="63" t="s">
        <v>21</v>
      </c>
      <c r="AH10" s="63" t="s">
        <v>21</v>
      </c>
      <c r="AI10" s="63" t="s">
        <v>21</v>
      </c>
      <c r="AJ10" s="63" t="s">
        <v>21</v>
      </c>
      <c r="AK10" s="63" t="s">
        <v>21</v>
      </c>
      <c r="AL10" s="494" t="s">
        <v>18</v>
      </c>
      <c r="AM10" s="147"/>
      <c r="AT10" s="129"/>
    </row>
    <row r="11" spans="1:46" ht="26.4" customHeight="1" x14ac:dyDescent="0.25">
      <c r="A11" s="148" t="s">
        <v>126</v>
      </c>
      <c r="B11" s="149">
        <f>'прилож.3-сады'!T13</f>
        <v>27852415.16</v>
      </c>
      <c r="C11" s="149">
        <v>0</v>
      </c>
      <c r="D11" s="149">
        <f>'прилож.3-сады'!Q22</f>
        <v>12767502.380000001</v>
      </c>
      <c r="E11" s="149">
        <f>'прилож.3-сады'!S23</f>
        <v>1757640.48</v>
      </c>
      <c r="F11" s="153">
        <f>SUM(B11:E11)</f>
        <v>42377558.020000003</v>
      </c>
      <c r="G11" s="149">
        <f>'прилож.3-сады'!N13</f>
        <v>12255446.65</v>
      </c>
      <c r="H11" s="149">
        <f>'прилож.3-сады'!N25</f>
        <v>262709.2</v>
      </c>
      <c r="I11" s="149">
        <f>'прилож.3-сады'!O12</f>
        <v>5627658.1200000001</v>
      </c>
      <c r="J11" s="150">
        <f>'прилож.3-сады'!Q13</f>
        <v>9969310.3900000006</v>
      </c>
      <c r="K11" s="150">
        <f>'прилож.3-сады'!Q22</f>
        <v>12767502.380000001</v>
      </c>
      <c r="L11" s="150">
        <f>SUM(J11:K11)</f>
        <v>22736812.77</v>
      </c>
      <c r="M11" s="149">
        <f>'прилож.3-сады'!S23</f>
        <v>1757640.48</v>
      </c>
      <c r="N11" s="153">
        <f>G11+I11+L11+M11</f>
        <v>42377558.020000003</v>
      </c>
      <c r="O11" s="149"/>
      <c r="P11" s="150">
        <f>T11/G11</f>
        <v>1.1299999999999999</v>
      </c>
      <c r="Q11" s="150">
        <v>0</v>
      </c>
      <c r="R11" s="150">
        <f>V11/I11</f>
        <v>1.1000000000000001</v>
      </c>
      <c r="S11" s="150">
        <f t="shared" ref="S11:S18" si="0">W11/L11</f>
        <v>0.98</v>
      </c>
      <c r="T11" s="340">
        <f>12259917+776305+768244</f>
        <v>13804466</v>
      </c>
      <c r="U11" s="149">
        <v>262709.2</v>
      </c>
      <c r="V11" s="340">
        <f>5138992+928162+141150</f>
        <v>6208304</v>
      </c>
      <c r="W11" s="150">
        <f>18953169.22+3234809.75+130000</f>
        <v>22317978.969999999</v>
      </c>
      <c r="X11" s="150">
        <f>J11*ROUND(W11/L11,11)</f>
        <v>9785666.1699999999</v>
      </c>
      <c r="Y11" s="636">
        <f>K11*ROUND(W11/L11,11)</f>
        <v>12532312.800000001</v>
      </c>
      <c r="Z11" s="498">
        <f>T11+U11+V11+W11</f>
        <v>42593458.170000002</v>
      </c>
      <c r="AA11" s="364">
        <f>T11+U11+V11+X11</f>
        <v>30061145.370000001</v>
      </c>
      <c r="AB11" s="364">
        <f>Y11</f>
        <v>12532312.800000001</v>
      </c>
      <c r="AC11" s="636">
        <f>1716765.12+20437.68</f>
        <v>1737202.8</v>
      </c>
      <c r="AD11" s="149">
        <f t="shared" ref="AD11:AD12" si="1">Z11</f>
        <v>42593458.170000002</v>
      </c>
      <c r="AE11" s="149">
        <f>989605.4+36447.59+1328250</f>
        <v>2354302.9900000002</v>
      </c>
      <c r="AF11" s="149">
        <f t="shared" ref="AF11:AF20" si="2">T11+V11+W11-Y11</f>
        <v>29798436.170000002</v>
      </c>
      <c r="AG11" s="534" t="e">
        <f>AE11/#REF!</f>
        <v>#REF!</v>
      </c>
      <c r="AH11" s="534">
        <f t="shared" ref="AH11:AH20" si="3">AF11/B11</f>
        <v>1.069869022</v>
      </c>
      <c r="AI11" s="535" t="s">
        <v>126</v>
      </c>
      <c r="AJ11" s="149">
        <f>36352078.22-185959+295249.57</f>
        <v>36461368.789999999</v>
      </c>
      <c r="AK11" s="149">
        <v>36166119.219999999</v>
      </c>
      <c r="AL11" s="148" t="s">
        <v>126</v>
      </c>
      <c r="AM11" s="770">
        <f>L11-W11</f>
        <v>418833.8</v>
      </c>
      <c r="AN11" s="75"/>
      <c r="AO11" s="663">
        <v>1285143.75</v>
      </c>
      <c r="AT11" s="151"/>
    </row>
    <row r="12" spans="1:46" ht="27" customHeight="1" x14ac:dyDescent="0.25">
      <c r="A12" s="148" t="s">
        <v>135</v>
      </c>
      <c r="B12" s="149">
        <f>'прилож.3-сады'!T28</f>
        <v>27938140.43</v>
      </c>
      <c r="C12" s="149">
        <v>0</v>
      </c>
      <c r="D12" s="149">
        <f>'прилож.3-сады'!Q40</f>
        <v>4859373.74</v>
      </c>
      <c r="E12" s="149">
        <f>'прилож.3-сады'!S41</f>
        <v>1614576.72</v>
      </c>
      <c r="F12" s="153">
        <f>SUM(B12:E12)</f>
        <v>34412090.890000001</v>
      </c>
      <c r="G12" s="149">
        <f>'прилож.3-сады'!N28</f>
        <v>16219182.59</v>
      </c>
      <c r="H12" s="149">
        <v>0</v>
      </c>
      <c r="I12" s="149">
        <f>'прилож.3-сады'!O28</f>
        <v>6517631.7199999997</v>
      </c>
      <c r="J12" s="150">
        <f>'прилож.3-сады'!Q28</f>
        <v>5716635.9199999999</v>
      </c>
      <c r="K12" s="150">
        <f>'прилож.3-сады'!Q40</f>
        <v>4859373.74</v>
      </c>
      <c r="L12" s="150">
        <f t="shared" ref="L12:L20" si="4">SUM(J12:K12)</f>
        <v>10576009.66</v>
      </c>
      <c r="M12" s="149">
        <f>'прилож.3-сады'!S41</f>
        <v>1614576.72</v>
      </c>
      <c r="N12" s="153">
        <f>G12+I12+L12+M12</f>
        <v>34927400.689999998</v>
      </c>
      <c r="O12" s="149"/>
      <c r="P12" s="150">
        <f t="shared" ref="P12:P21" si="5">T12/G12</f>
        <v>1.17</v>
      </c>
      <c r="Q12" s="150">
        <v>0</v>
      </c>
      <c r="R12" s="150">
        <f>V12/I12</f>
        <v>1.1499999999999999</v>
      </c>
      <c r="S12" s="150">
        <f t="shared" si="0"/>
        <v>1.1399999999999999</v>
      </c>
      <c r="T12" s="340">
        <f>14451204+1924263+2590126</f>
        <v>18965593</v>
      </c>
      <c r="U12" s="149">
        <v>0</v>
      </c>
      <c r="V12" s="340">
        <f>6160339+858117+502811</f>
        <v>7521267</v>
      </c>
      <c r="W12" s="150">
        <f>9323928+2632625.75+85587.76</f>
        <v>12042141.51</v>
      </c>
      <c r="X12" s="150">
        <f>J12*ROUND(W12/L12,11)</f>
        <v>6509122.1500000004</v>
      </c>
      <c r="Y12" s="636">
        <f t="shared" ref="Y12:Y20" si="6">K12*ROUND(W12/L12,11)</f>
        <v>5533019.3600000003</v>
      </c>
      <c r="Z12" s="498">
        <f t="shared" ref="Z12:Z18" si="7">T12+V12+W12</f>
        <v>38529001.509999998</v>
      </c>
      <c r="AA12" s="364">
        <f t="shared" ref="AA12:AA18" si="8">T12+V12+X12</f>
        <v>32995982.149999999</v>
      </c>
      <c r="AB12" s="364">
        <f t="shared" ref="AB12:AB20" si="9">Y12</f>
        <v>5533019.3600000003</v>
      </c>
      <c r="AC12" s="636">
        <f>1512388.32+61313.04</f>
        <v>1573701.36</v>
      </c>
      <c r="AD12" s="149">
        <f t="shared" si="1"/>
        <v>38529001.509999998</v>
      </c>
      <c r="AE12" s="149">
        <f>810487.3+1293600</f>
        <v>2104087.2999999998</v>
      </c>
      <c r="AF12" s="149">
        <f t="shared" si="2"/>
        <v>32995982.149999999</v>
      </c>
      <c r="AG12" s="534" t="e">
        <f>AE12/#REF!</f>
        <v>#REF!</v>
      </c>
      <c r="AH12" s="534">
        <f t="shared" si="3"/>
        <v>1.1810371639999999</v>
      </c>
      <c r="AI12" s="535" t="s">
        <v>135</v>
      </c>
      <c r="AJ12" s="149">
        <f>29935471+92417</f>
        <v>30027888</v>
      </c>
      <c r="AK12" s="149">
        <f t="shared" ref="AK12:AK15" si="10">AJ12</f>
        <v>30027888</v>
      </c>
      <c r="AL12" s="148" t="s">
        <v>135</v>
      </c>
      <c r="AM12" s="770">
        <f t="shared" ref="AM12:AM20" si="11">L12-W12</f>
        <v>-1466131.85</v>
      </c>
      <c r="AN12" s="75"/>
      <c r="AO12" s="663">
        <v>1353684.75</v>
      </c>
      <c r="AT12" s="151"/>
    </row>
    <row r="13" spans="1:46" ht="27" customHeight="1" x14ac:dyDescent="0.25">
      <c r="A13" s="148" t="s">
        <v>140</v>
      </c>
      <c r="B13" s="149">
        <f>'прилож.3-сады'!T43</f>
        <v>30256742.949999999</v>
      </c>
      <c r="C13" s="149">
        <v>0</v>
      </c>
      <c r="D13" s="149">
        <f>'прилож.3-сады'!Q54</f>
        <v>5966572.8200000003</v>
      </c>
      <c r="E13" s="149">
        <f>'прилож.3-сады'!S55</f>
        <v>1982454.96</v>
      </c>
      <c r="F13" s="153">
        <f t="shared" ref="F13:F18" si="12">SUM(B13:E13)</f>
        <v>38205770.729999997</v>
      </c>
      <c r="G13" s="149">
        <f>'прилож.3-сады'!N43</f>
        <v>16755519.84</v>
      </c>
      <c r="H13" s="149">
        <v>0</v>
      </c>
      <c r="I13" s="149">
        <f>'прилож.3-сады'!O43</f>
        <v>6482062.5499999998</v>
      </c>
      <c r="J13" s="649">
        <f>'прилож.3-сады'!Q43</f>
        <v>7019160.5599999996</v>
      </c>
      <c r="K13" s="150">
        <f>'прилож.3-сады'!Q54</f>
        <v>5966572.8200000003</v>
      </c>
      <c r="L13" s="150">
        <f t="shared" si="4"/>
        <v>12985733.380000001</v>
      </c>
      <c r="M13" s="149">
        <f>'прилож.3-сады'!S55</f>
        <v>1982454.96</v>
      </c>
      <c r="N13" s="153">
        <f>G13+I13+L13+M13</f>
        <v>38205770.729999997</v>
      </c>
      <c r="O13" s="149"/>
      <c r="P13" s="150">
        <f t="shared" si="5"/>
        <v>1.03</v>
      </c>
      <c r="Q13" s="150">
        <v>0</v>
      </c>
      <c r="R13" s="150">
        <f t="shared" ref="R13:R21" si="13">V13/I13</f>
        <v>1.1000000000000001</v>
      </c>
      <c r="S13" s="150">
        <f t="shared" si="0"/>
        <v>1.56</v>
      </c>
      <c r="T13" s="340">
        <f>17135497+767757-562208</f>
        <v>17341046</v>
      </c>
      <c r="U13" s="149">
        <v>0</v>
      </c>
      <c r="V13" s="149">
        <f>6574537+537906</f>
        <v>7112443</v>
      </c>
      <c r="W13" s="150">
        <f>12059098+8252604.97</f>
        <v>20311702.969999999</v>
      </c>
      <c r="X13" s="150">
        <f t="shared" ref="X13:X20" si="14">J13*ROUND(W13/L13,11)</f>
        <v>10979056.800000001</v>
      </c>
      <c r="Y13" s="636">
        <f t="shared" si="6"/>
        <v>9332646.1699999999</v>
      </c>
      <c r="Z13" s="498">
        <f>T13+V13+W13</f>
        <v>44765191.969999999</v>
      </c>
      <c r="AA13" s="364">
        <f>T13+V13+X13</f>
        <v>35432545.799999997</v>
      </c>
      <c r="AB13" s="364">
        <f t="shared" si="9"/>
        <v>9332646.1699999999</v>
      </c>
      <c r="AC13" s="636">
        <f>1982454.96-122626.08</f>
        <v>1859828.88</v>
      </c>
      <c r="AD13" s="149">
        <f>Z13</f>
        <v>44765191.969999999</v>
      </c>
      <c r="AE13" s="149">
        <f>2299256.17+2483250</f>
        <v>4782506.17</v>
      </c>
      <c r="AF13" s="149">
        <f t="shared" si="2"/>
        <v>35432545.799999997</v>
      </c>
      <c r="AG13" s="534" t="e">
        <f>AE13/#REF!</f>
        <v>#REF!</v>
      </c>
      <c r="AH13" s="534">
        <f t="shared" si="3"/>
        <v>1.171062789</v>
      </c>
      <c r="AI13" s="535" t="s">
        <v>140</v>
      </c>
      <c r="AJ13" s="149">
        <f>35769132+4372133</f>
        <v>40141265</v>
      </c>
      <c r="AK13" s="149">
        <f t="shared" si="10"/>
        <v>40141265</v>
      </c>
      <c r="AL13" s="148" t="s">
        <v>140</v>
      </c>
      <c r="AM13" s="770">
        <f t="shared" si="11"/>
        <v>-7325969.5899999999</v>
      </c>
      <c r="AN13" s="75"/>
      <c r="AO13" s="663">
        <v>1884877.5</v>
      </c>
      <c r="AT13" s="151"/>
    </row>
    <row r="14" spans="1:46" ht="27" customHeight="1" x14ac:dyDescent="0.25">
      <c r="A14" s="148" t="s">
        <v>141</v>
      </c>
      <c r="B14" s="149">
        <f>'прилож.3-сады'!T57</f>
        <v>22737869.449999999</v>
      </c>
      <c r="C14" s="149">
        <v>0</v>
      </c>
      <c r="D14" s="149">
        <f>'прилож.3-сады'!Q68</f>
        <v>5289951.16</v>
      </c>
      <c r="E14" s="149">
        <f>'прилож.3-сады'!S69</f>
        <v>1757640.48</v>
      </c>
      <c r="F14" s="153">
        <f t="shared" si="12"/>
        <v>29785461.09</v>
      </c>
      <c r="G14" s="149">
        <f>'прилож.3-сады'!N57</f>
        <v>12009959.619999999</v>
      </c>
      <c r="H14" s="149">
        <v>0</v>
      </c>
      <c r="I14" s="149">
        <f>'прилож.3-сады'!O57</f>
        <v>4762391.45</v>
      </c>
      <c r="J14" s="150">
        <f>'прилож.3-сады'!Q57</f>
        <v>6223173.2800000003</v>
      </c>
      <c r="K14" s="150">
        <f>'прилож.3-сады'!Q68</f>
        <v>5289951.16</v>
      </c>
      <c r="L14" s="150">
        <f t="shared" si="4"/>
        <v>11513124.439999999</v>
      </c>
      <c r="M14" s="149">
        <f>'прилож.3-сады'!S69</f>
        <v>1757640.48</v>
      </c>
      <c r="N14" s="153">
        <f>G14+I14+L14+M14</f>
        <v>30043115.989999998</v>
      </c>
      <c r="O14" s="149"/>
      <c r="P14" s="150">
        <f t="shared" si="5"/>
        <v>1.23</v>
      </c>
      <c r="Q14" s="150">
        <v>0</v>
      </c>
      <c r="R14" s="150">
        <f t="shared" si="13"/>
        <v>1.21</v>
      </c>
      <c r="S14" s="150">
        <f t="shared" si="0"/>
        <v>1.24</v>
      </c>
      <c r="T14" s="340">
        <f>11678527+1061212+2033558</f>
        <v>14773297</v>
      </c>
      <c r="U14" s="149">
        <v>0</v>
      </c>
      <c r="V14" s="340">
        <f>4920569+392946+460042</f>
        <v>5773557</v>
      </c>
      <c r="W14" s="150">
        <f>11287388.07+2886404.94+102205</f>
        <v>14275998.01</v>
      </c>
      <c r="X14" s="150">
        <f t="shared" si="14"/>
        <v>7716585.5199999996</v>
      </c>
      <c r="Y14" s="636">
        <f t="shared" si="6"/>
        <v>6559412.4900000002</v>
      </c>
      <c r="Z14" s="498">
        <f>T14+V14+W14</f>
        <v>34822852.009999998</v>
      </c>
      <c r="AA14" s="364">
        <f t="shared" si="8"/>
        <v>28263439.52</v>
      </c>
      <c r="AB14" s="364">
        <f t="shared" si="9"/>
        <v>6559412.4900000002</v>
      </c>
      <c r="AC14" s="636">
        <f>1778078.16-20437.68</f>
        <v>1757640.48</v>
      </c>
      <c r="AD14" s="149">
        <f>Z14</f>
        <v>34822852.009999998</v>
      </c>
      <c r="AE14" s="149">
        <f>1023799.35+1178100</f>
        <v>2201899.35</v>
      </c>
      <c r="AF14" s="149">
        <f t="shared" si="2"/>
        <v>28263439.52</v>
      </c>
      <c r="AG14" s="534" t="e">
        <f>AE14/#REF!</f>
        <v>#REF!</v>
      </c>
      <c r="AH14" s="534">
        <f t="shared" si="3"/>
        <v>1.243011777</v>
      </c>
      <c r="AI14" s="535" t="s">
        <v>141</v>
      </c>
      <c r="AJ14" s="149">
        <f>27886484.07+57696.44</f>
        <v>27944180.510000002</v>
      </c>
      <c r="AK14" s="149">
        <f t="shared" si="10"/>
        <v>27944180.510000002</v>
      </c>
      <c r="AL14" s="148" t="s">
        <v>141</v>
      </c>
      <c r="AM14" s="770">
        <f t="shared" si="11"/>
        <v>-2762873.57</v>
      </c>
      <c r="AN14" s="75"/>
      <c r="AO14" s="663">
        <v>1679254.5</v>
      </c>
      <c r="AT14" s="151"/>
    </row>
    <row r="15" spans="1:46" ht="27" customHeight="1" x14ac:dyDescent="0.25">
      <c r="A15" s="148" t="s">
        <v>143</v>
      </c>
      <c r="B15" s="149">
        <f>'прилож.3-сады'!T71</f>
        <v>29573666.68</v>
      </c>
      <c r="C15" s="149">
        <f>'прилож.3-сады'!T86</f>
        <v>245685.6</v>
      </c>
      <c r="D15" s="149">
        <f>'прилож.3-сады'!Q83</f>
        <v>6520172.3600000003</v>
      </c>
      <c r="E15" s="149">
        <f>'прилож.3-сады'!S84</f>
        <v>2166394.08</v>
      </c>
      <c r="F15" s="153">
        <f t="shared" si="12"/>
        <v>38505918.719999999</v>
      </c>
      <c r="G15" s="149">
        <f>'прилож.3-сады'!N71</f>
        <v>15830935.77</v>
      </c>
      <c r="H15" s="340">
        <f>'прилож.3-сады'!N86</f>
        <v>245685.6</v>
      </c>
      <c r="I15" s="149">
        <f>'прилож.3-сады'!O71</f>
        <v>6072308.0300000003</v>
      </c>
      <c r="J15" s="150">
        <f>'прилож.3-сады'!Q71</f>
        <v>7670422.8799999999</v>
      </c>
      <c r="K15" s="150">
        <f>'прилож.3-сады'!Q83</f>
        <v>6520172.3600000003</v>
      </c>
      <c r="L15" s="150">
        <f t="shared" si="4"/>
        <v>14190595.24</v>
      </c>
      <c r="M15" s="149">
        <f>'прилож.3-сады'!S84</f>
        <v>2166394.08</v>
      </c>
      <c r="N15" s="153">
        <f>G15+H15+I15+L15+M15</f>
        <v>38505918.719999999</v>
      </c>
      <c r="O15" s="149"/>
      <c r="P15" s="150">
        <f t="shared" si="5"/>
        <v>1.18</v>
      </c>
      <c r="Q15" s="699">
        <v>0</v>
      </c>
      <c r="R15" s="150">
        <f t="shared" si="13"/>
        <v>1.19</v>
      </c>
      <c r="S15" s="150">
        <f t="shared" si="0"/>
        <v>1.34</v>
      </c>
      <c r="T15" s="340">
        <f>14897262+1535172+2277043</f>
        <v>18709477</v>
      </c>
      <c r="U15" s="149">
        <f>245421.75+263.85</f>
        <v>245685.6</v>
      </c>
      <c r="V15" s="340">
        <f>5988888+668100+564789</f>
        <v>7221777</v>
      </c>
      <c r="W15" s="150">
        <f>12485243.92+6394353.41+81030.15</f>
        <v>18960627.48</v>
      </c>
      <c r="X15" s="150">
        <f t="shared" si="14"/>
        <v>10248761.83</v>
      </c>
      <c r="Y15" s="636">
        <f t="shared" si="6"/>
        <v>8711865.6500000004</v>
      </c>
      <c r="Z15" s="498">
        <f>T15+U15+V15+W15</f>
        <v>45137567.079999998</v>
      </c>
      <c r="AA15" s="364">
        <f>T15+U15+V15+X15</f>
        <v>36425701.43</v>
      </c>
      <c r="AB15" s="364">
        <f t="shared" si="9"/>
        <v>8711865.6500000004</v>
      </c>
      <c r="AC15" s="636">
        <f>2105081.04+40875.36</f>
        <v>2145956.4</v>
      </c>
      <c r="AD15" s="149">
        <f>Z15</f>
        <v>45137567.079999998</v>
      </c>
      <c r="AE15" s="149">
        <f>1631026.83+1744050</f>
        <v>3375076.83</v>
      </c>
      <c r="AF15" s="149">
        <f t="shared" si="2"/>
        <v>36180015.829999998</v>
      </c>
      <c r="AG15" s="534" t="e">
        <f>AE15/#REF!</f>
        <v>#REF!</v>
      </c>
      <c r="AH15" s="534">
        <f t="shared" si="3"/>
        <v>1.2233862040000001</v>
      </c>
      <c r="AI15" s="535" t="s">
        <v>143</v>
      </c>
      <c r="AJ15" s="149">
        <f>33371393.92+2987021.08</f>
        <v>36358415</v>
      </c>
      <c r="AK15" s="149">
        <f t="shared" si="10"/>
        <v>36358415</v>
      </c>
      <c r="AL15" s="148" t="s">
        <v>143</v>
      </c>
      <c r="AM15" s="770">
        <f t="shared" si="11"/>
        <v>-4770032.24</v>
      </c>
      <c r="AN15" s="75"/>
      <c r="AO15" s="663">
        <v>1867742.25</v>
      </c>
      <c r="AT15" s="151"/>
    </row>
    <row r="16" spans="1:46" ht="27" customHeight="1" x14ac:dyDescent="0.25">
      <c r="A16" s="148" t="s">
        <v>145</v>
      </c>
      <c r="B16" s="149">
        <f>'прилож.3-сады'!T89</f>
        <v>26818257.800000001</v>
      </c>
      <c r="C16" s="149">
        <v>0</v>
      </c>
      <c r="D16" s="149">
        <f>'прилож.3-сады'!Q99</f>
        <v>5966572.8200000003</v>
      </c>
      <c r="E16" s="149">
        <f>'прилож.3-сады'!S100</f>
        <v>1982454.96</v>
      </c>
      <c r="F16" s="153">
        <f t="shared" si="12"/>
        <v>34767285.579999998</v>
      </c>
      <c r="G16" s="149">
        <f>'прилож.3-сады'!N89</f>
        <v>14384409.51</v>
      </c>
      <c r="H16" s="340">
        <f>'прилож.3-сады'!N102</f>
        <v>229949.2</v>
      </c>
      <c r="I16" s="149">
        <f>'прилож.3-сады'!O89</f>
        <v>5414687.7300000004</v>
      </c>
      <c r="J16" s="150">
        <f>'прилож.3-сады'!Q89</f>
        <v>7019160.5599999996</v>
      </c>
      <c r="K16" s="150">
        <f>'прилож.3-сады'!Q99</f>
        <v>5966572.8200000003</v>
      </c>
      <c r="L16" s="150">
        <f t="shared" si="4"/>
        <v>12985733.380000001</v>
      </c>
      <c r="M16" s="149">
        <f>'прилож.3-сады'!S100</f>
        <v>1982454.96</v>
      </c>
      <c r="N16" s="153">
        <f t="shared" ref="N16:N18" si="15">G16+I16+L16+M16</f>
        <v>34767285.579999998</v>
      </c>
      <c r="O16" s="149"/>
      <c r="P16" s="150">
        <f t="shared" si="5"/>
        <v>1.1000000000000001</v>
      </c>
      <c r="Q16" s="150">
        <v>0</v>
      </c>
      <c r="R16" s="150">
        <f t="shared" si="13"/>
        <v>1.1200000000000001</v>
      </c>
      <c r="S16" s="150">
        <f t="shared" si="0"/>
        <v>0.96</v>
      </c>
      <c r="T16" s="340">
        <f>13705133+1299098+842106</f>
        <v>15846337</v>
      </c>
      <c r="U16" s="149">
        <v>229949.2</v>
      </c>
      <c r="V16" s="340">
        <f>5432114+526862+122461</f>
        <v>6081437</v>
      </c>
      <c r="W16" s="150">
        <f>10916439.69+1457216.7+102205</f>
        <v>12475861.390000001</v>
      </c>
      <c r="X16" s="150">
        <f t="shared" si="14"/>
        <v>6743560.1600000001</v>
      </c>
      <c r="Y16" s="636">
        <f t="shared" si="6"/>
        <v>5732301.2300000004</v>
      </c>
      <c r="Z16" s="498">
        <f>T16+U16+V16+W16</f>
        <v>34633584.590000004</v>
      </c>
      <c r="AA16" s="364">
        <f>T16+U16+V16+X16</f>
        <v>28901283.359999999</v>
      </c>
      <c r="AB16" s="364">
        <f t="shared" si="9"/>
        <v>5732301.2300000004</v>
      </c>
      <c r="AC16" s="636">
        <f>1982454.96-20437.68</f>
        <v>1962017.28</v>
      </c>
      <c r="AD16" s="149">
        <f t="shared" ref="AD16:AD20" si="16">Z16</f>
        <v>34633584.590000004</v>
      </c>
      <c r="AE16" s="149">
        <f>1223824.58+1293600</f>
        <v>2517424.58</v>
      </c>
      <c r="AF16" s="149">
        <f t="shared" si="2"/>
        <v>28671334.16</v>
      </c>
      <c r="AG16" s="534" t="e">
        <f>AE16/#REF!</f>
        <v>#REF!</v>
      </c>
      <c r="AH16" s="534">
        <f t="shared" si="3"/>
        <v>1.069097567</v>
      </c>
      <c r="AI16" s="535" t="s">
        <v>145</v>
      </c>
      <c r="AJ16" s="149">
        <f>30053686.69-198104.69+295249.57</f>
        <v>30150831.57</v>
      </c>
      <c r="AK16" s="149">
        <v>29855582</v>
      </c>
      <c r="AL16" s="148" t="s">
        <v>145</v>
      </c>
      <c r="AM16" s="770"/>
      <c r="AN16" s="75"/>
      <c r="AO16" s="663">
        <v>1799201.25</v>
      </c>
      <c r="AT16" s="151"/>
    </row>
    <row r="17" spans="1:46" ht="27" customHeight="1" x14ac:dyDescent="0.25">
      <c r="A17" s="148" t="s">
        <v>146</v>
      </c>
      <c r="B17" s="149">
        <f>'прилож.3-сады'!T105</f>
        <v>35492346.009999998</v>
      </c>
      <c r="C17" s="149">
        <f>'прилож.3-сады'!T139</f>
        <v>142525.04999999999</v>
      </c>
      <c r="D17" s="149">
        <f>'прилож.3-сады'!Q136</f>
        <v>6212617.0599999996</v>
      </c>
      <c r="E17" s="149">
        <f>'прилож.3-сады'!S137</f>
        <v>2064205.68</v>
      </c>
      <c r="F17" s="153">
        <f t="shared" si="12"/>
        <v>43911693.799999997</v>
      </c>
      <c r="G17" s="149">
        <f>'прилож.3-сады'!N105</f>
        <v>20228672.600000001</v>
      </c>
      <c r="H17" s="340">
        <f>'прилож.3-сады'!N145</f>
        <v>236609.05</v>
      </c>
      <c r="I17" s="149">
        <f>'прилож.3-сады'!O105</f>
        <v>10016302.130000001</v>
      </c>
      <c r="J17" s="649">
        <f>'прилож.3-сады'!Q105</f>
        <v>7308610.4800000004</v>
      </c>
      <c r="K17" s="150">
        <f>'прилож.3-сады'!Q136</f>
        <v>6212617.0599999996</v>
      </c>
      <c r="L17" s="150">
        <f t="shared" si="4"/>
        <v>13521227.539999999</v>
      </c>
      <c r="M17" s="149">
        <f>'прилож.3-сады'!S137</f>
        <v>2064205.68</v>
      </c>
      <c r="N17" s="153">
        <f>G17+H17+I17+L17+M17</f>
        <v>46067017</v>
      </c>
      <c r="O17" s="149"/>
      <c r="P17" s="150">
        <f t="shared" si="5"/>
        <v>1.06</v>
      </c>
      <c r="Q17" s="699">
        <v>0</v>
      </c>
      <c r="R17" s="150">
        <f t="shared" si="13"/>
        <v>1.1200000000000001</v>
      </c>
      <c r="S17" s="150">
        <f t="shared" si="0"/>
        <v>1.77</v>
      </c>
      <c r="T17" s="340">
        <f>19679259+1599993+149741</f>
        <v>21428993</v>
      </c>
      <c r="U17" s="149">
        <f>143052.75+94084-527.7</f>
        <v>236609.05</v>
      </c>
      <c r="V17" s="340">
        <f>9335023+1511302+345751</f>
        <v>11192076</v>
      </c>
      <c r="W17" s="150">
        <f>13260771+10527924.34+101452</f>
        <v>23890147.34</v>
      </c>
      <c r="X17" s="150">
        <f t="shared" si="14"/>
        <v>12913308.4</v>
      </c>
      <c r="Y17" s="636">
        <f t="shared" si="6"/>
        <v>10976838.939999999</v>
      </c>
      <c r="Z17" s="498">
        <f>T17+U17+V17+W17</f>
        <v>56747825.390000001</v>
      </c>
      <c r="AA17" s="364">
        <f>T17+U17+V17+X17</f>
        <v>45770986.450000003</v>
      </c>
      <c r="AB17" s="364">
        <f t="shared" si="9"/>
        <v>10976838.939999999</v>
      </c>
      <c r="AC17" s="636">
        <f>2064205.68-224814.48</f>
        <v>1839391.2</v>
      </c>
      <c r="AD17" s="149">
        <f t="shared" si="16"/>
        <v>56747825.390000001</v>
      </c>
      <c r="AE17" s="149">
        <f>2214748.2+2621850</f>
        <v>4836598.2</v>
      </c>
      <c r="AF17" s="149">
        <f t="shared" si="2"/>
        <v>45534377.399999999</v>
      </c>
      <c r="AG17" s="534" t="e">
        <f>AE17/#REF!</f>
        <v>#REF!</v>
      </c>
      <c r="AH17" s="534">
        <f t="shared" si="3"/>
        <v>1.2829351259999999</v>
      </c>
      <c r="AI17" s="535" t="s">
        <v>170</v>
      </c>
      <c r="AJ17" s="149">
        <f>42275053+5779720+112072.94</f>
        <v>48166845.939999998</v>
      </c>
      <c r="AK17" s="149">
        <v>48054773</v>
      </c>
      <c r="AL17" s="148" t="s">
        <v>146</v>
      </c>
      <c r="AM17" s="770">
        <f t="shared" si="11"/>
        <v>-10368919.800000001</v>
      </c>
      <c r="AN17" s="75"/>
      <c r="AO17" s="663">
        <v>1987689</v>
      </c>
      <c r="AT17" s="151"/>
    </row>
    <row r="18" spans="1:46" ht="27" customHeight="1" x14ac:dyDescent="0.25">
      <c r="A18" s="148" t="s">
        <v>147</v>
      </c>
      <c r="B18" s="149">
        <f>'прилож.3-сады'!T147</f>
        <v>34444075.159999996</v>
      </c>
      <c r="C18" s="149">
        <v>0</v>
      </c>
      <c r="D18" s="149">
        <f>'прилож.3-сады'!Q155</f>
        <v>7381327.2000000002</v>
      </c>
      <c r="E18" s="149">
        <f>'прилож.3-сады'!S156</f>
        <v>2452521.6</v>
      </c>
      <c r="F18" s="153">
        <f t="shared" si="12"/>
        <v>44277923.960000001</v>
      </c>
      <c r="G18" s="149">
        <f>'прилож.3-сады'!N147</f>
        <v>18504439.219999999</v>
      </c>
      <c r="H18" s="340">
        <v>0</v>
      </c>
      <c r="I18" s="149">
        <f>'прилож.3-сады'!O147</f>
        <v>7256138.3399999999</v>
      </c>
      <c r="J18" s="150">
        <f>'прилож.3-сады'!Q147</f>
        <v>8683497.5999999996</v>
      </c>
      <c r="K18" s="150">
        <f>'прилож.3-сады'!Q155</f>
        <v>7381327.2000000002</v>
      </c>
      <c r="L18" s="150">
        <f>SUM(J18:K18)</f>
        <v>16064824.800000001</v>
      </c>
      <c r="M18" s="149">
        <f>'прилож.3-сады'!S156</f>
        <v>2452521.6</v>
      </c>
      <c r="N18" s="153">
        <f t="shared" si="15"/>
        <v>44277923.960000001</v>
      </c>
      <c r="O18" s="149"/>
      <c r="P18" s="150">
        <f t="shared" si="5"/>
        <v>1.03</v>
      </c>
      <c r="Q18" s="150">
        <v>0</v>
      </c>
      <c r="R18" s="150">
        <f t="shared" si="13"/>
        <v>1.06</v>
      </c>
      <c r="S18" s="150">
        <f t="shared" si="0"/>
        <v>0.87</v>
      </c>
      <c r="T18" s="449">
        <f>15059940+3294386+644788</f>
        <v>18999114</v>
      </c>
      <c r="U18" s="149">
        <v>0</v>
      </c>
      <c r="V18" s="149">
        <f>5834989+1875806</f>
        <v>7710795</v>
      </c>
      <c r="W18" s="150">
        <f>12064467.22+2022498.73+33731-149841.42</f>
        <v>13970855.529999999</v>
      </c>
      <c r="X18" s="150">
        <f t="shared" si="14"/>
        <v>7551647.2800000003</v>
      </c>
      <c r="Y18" s="636">
        <f t="shared" si="6"/>
        <v>6419208.25</v>
      </c>
      <c r="Z18" s="498">
        <f t="shared" si="7"/>
        <v>40680764.530000001</v>
      </c>
      <c r="AA18" s="364">
        <f t="shared" si="8"/>
        <v>34261556.280000001</v>
      </c>
      <c r="AB18" s="364">
        <f t="shared" si="9"/>
        <v>6419208.25</v>
      </c>
      <c r="AC18" s="636">
        <f>2432083.92+20437.68</f>
        <v>2452521.6</v>
      </c>
      <c r="AD18" s="149">
        <f t="shared" si="16"/>
        <v>40680764.530000001</v>
      </c>
      <c r="AE18" s="149">
        <f>1343296.5+1570800</f>
        <v>2914096.5</v>
      </c>
      <c r="AF18" s="149">
        <f t="shared" si="2"/>
        <v>34261556.280000001</v>
      </c>
      <c r="AG18" s="534" t="e">
        <f>AE18/#REF!</f>
        <v>#REF!</v>
      </c>
      <c r="AH18" s="534">
        <f t="shared" si="3"/>
        <v>0.99470100800000005</v>
      </c>
      <c r="AI18" s="535" t="s">
        <v>147</v>
      </c>
      <c r="AJ18" s="149">
        <f>32959396.22-161705.72</f>
        <v>32797690.5</v>
      </c>
      <c r="AK18" s="149">
        <f>32797690.78-20.28</f>
        <v>32797670.5</v>
      </c>
      <c r="AL18" s="148" t="s">
        <v>147</v>
      </c>
      <c r="AM18" s="770"/>
      <c r="AN18" s="75"/>
      <c r="AO18" s="663">
        <v>2159041.5</v>
      </c>
      <c r="AT18" s="151"/>
    </row>
    <row r="19" spans="1:46" ht="27" customHeight="1" x14ac:dyDescent="0.25">
      <c r="A19" s="148" t="s">
        <v>148</v>
      </c>
      <c r="B19" s="149">
        <f>'прилож.3-сады'!T158</f>
        <v>35552001.68</v>
      </c>
      <c r="C19" s="149">
        <f>'прилож.3-сады'!T171</f>
        <v>204714</v>
      </c>
      <c r="D19" s="149">
        <f>'прилож.3-сады'!Q168</f>
        <v>7565860.3799999999</v>
      </c>
      <c r="E19" s="149">
        <f>'прилож.3-сады'!S169</f>
        <v>2513834.64</v>
      </c>
      <c r="F19" s="153">
        <f>SUM(B19:E19)</f>
        <v>45836410.700000003</v>
      </c>
      <c r="G19" s="149">
        <f>'прилож.3-сады'!N158</f>
        <v>18468595.870000001</v>
      </c>
      <c r="H19" s="340">
        <f>'прилож.3-сады'!N175</f>
        <v>336360.2</v>
      </c>
      <c r="I19" s="149">
        <f>'прилож.3-сады'!O158</f>
        <v>8182820.7699999996</v>
      </c>
      <c r="J19" s="150">
        <f>'прилож.3-сады'!Q158</f>
        <v>8900585.0399999991</v>
      </c>
      <c r="K19" s="150">
        <f>'прилож.3-сады'!Q168</f>
        <v>7565860.3799999999</v>
      </c>
      <c r="L19" s="150">
        <f t="shared" si="4"/>
        <v>16466445.42</v>
      </c>
      <c r="M19" s="149">
        <f>'прилож.3-сады'!S169</f>
        <v>2513834.64</v>
      </c>
      <c r="N19" s="153">
        <f>G19+H19+I19+L19+M19</f>
        <v>45968056.899999999</v>
      </c>
      <c r="O19" s="149"/>
      <c r="P19" s="150">
        <f t="shared" si="5"/>
        <v>1.1200000000000001</v>
      </c>
      <c r="Q19" s="699">
        <v>0</v>
      </c>
      <c r="R19" s="150">
        <f t="shared" si="13"/>
        <v>1.1200000000000001</v>
      </c>
      <c r="S19" s="150">
        <f t="shared" ref="S19:S21" si="17">W19/L19</f>
        <v>1.1100000000000001</v>
      </c>
      <c r="T19" s="340">
        <f>17539967+1700062+1404358</f>
        <v>20644387</v>
      </c>
      <c r="U19" s="149">
        <f>204450.15+131646.2+263.85</f>
        <v>336360.2</v>
      </c>
      <c r="V19" s="340">
        <f>8012270+944374+220329</f>
        <v>9176973</v>
      </c>
      <c r="W19" s="150">
        <f>15663255+2571634+19000+35000</f>
        <v>18288889</v>
      </c>
      <c r="X19" s="150">
        <f t="shared" si="14"/>
        <v>9885667.9600000009</v>
      </c>
      <c r="Y19" s="636">
        <f t="shared" si="6"/>
        <v>8403221.0399999991</v>
      </c>
      <c r="Z19" s="498">
        <f>T19+U19+V19+W19</f>
        <v>48446609.200000003</v>
      </c>
      <c r="AA19" s="364">
        <f>T19+U19+V19+X19</f>
        <v>40043388.159999996</v>
      </c>
      <c r="AB19" s="364">
        <f t="shared" si="9"/>
        <v>8403221.0399999991</v>
      </c>
      <c r="AC19" s="636">
        <f>2513834.64-20437.68</f>
        <v>2493396.96</v>
      </c>
      <c r="AD19" s="149">
        <f t="shared" si="16"/>
        <v>48446609.200000003</v>
      </c>
      <c r="AE19" s="149">
        <f>1403294.08+1593900</f>
        <v>2997194.08</v>
      </c>
      <c r="AF19" s="149">
        <f t="shared" si="2"/>
        <v>39707027.960000001</v>
      </c>
      <c r="AG19" s="534" t="e">
        <f>AE19/#REF!</f>
        <v>#REF!</v>
      </c>
      <c r="AH19" s="534">
        <f t="shared" si="3"/>
        <v>1.1168717960000001</v>
      </c>
      <c r="AI19" s="535" t="s">
        <v>148</v>
      </c>
      <c r="AJ19" s="149">
        <f>41215492-204503+164180.78</f>
        <v>41175169.780000001</v>
      </c>
      <c r="AK19" s="149">
        <v>41010989</v>
      </c>
      <c r="AL19" s="148" t="s">
        <v>148</v>
      </c>
      <c r="AM19" s="770"/>
      <c r="AO19" s="663">
        <v>2193312</v>
      </c>
      <c r="AT19" s="151"/>
    </row>
    <row r="20" spans="1:46" ht="27" customHeight="1" x14ac:dyDescent="0.25">
      <c r="A20" s="148" t="s">
        <v>171</v>
      </c>
      <c r="B20" s="149">
        <f>'прилож.3-сады'!T177</f>
        <v>54787261.359999999</v>
      </c>
      <c r="C20" s="149">
        <f>'прилож.3-сады'!T191</f>
        <v>240075.35</v>
      </c>
      <c r="D20" s="149">
        <f>'прилож.3-сады'!Q188</f>
        <v>11195012.92</v>
      </c>
      <c r="E20" s="149">
        <f>'прилож.3-сады'!S189</f>
        <v>3719657.76</v>
      </c>
      <c r="F20" s="153">
        <f>SUM(B20:E20)</f>
        <v>69942007.390000001</v>
      </c>
      <c r="G20" s="149">
        <f>'прилож.3-сады'!N177</f>
        <v>29867427.59</v>
      </c>
      <c r="H20" s="340">
        <f>'прилож.3-сады'!N199</f>
        <v>470895.75</v>
      </c>
      <c r="I20" s="149">
        <f>'прилож.3-сады'!O177</f>
        <v>11749862.41</v>
      </c>
      <c r="J20" s="150">
        <f>'прилож.3-сады'!Q177</f>
        <v>13169971.359999999</v>
      </c>
      <c r="K20" s="150">
        <f>'прилож.3-сады'!Q188</f>
        <v>11195012.92</v>
      </c>
      <c r="L20" s="150">
        <f t="shared" si="4"/>
        <v>24364984.280000001</v>
      </c>
      <c r="M20" s="149">
        <f>'прилож.3-сады'!S189</f>
        <v>3719657.76</v>
      </c>
      <c r="N20" s="153">
        <f>G20+H20+I20+L20+M20</f>
        <v>70172827.790000007</v>
      </c>
      <c r="O20" s="149"/>
      <c r="P20" s="150">
        <f t="shared" si="5"/>
        <v>1.1299999999999999</v>
      </c>
      <c r="Q20" s="699">
        <v>0</v>
      </c>
      <c r="R20" s="150">
        <f t="shared" si="13"/>
        <v>1.17</v>
      </c>
      <c r="S20" s="150">
        <f>W20/L20</f>
        <v>1.1200000000000001</v>
      </c>
      <c r="T20" s="340">
        <f>27340094+3331452+3095944</f>
        <v>33767490</v>
      </c>
      <c r="U20" s="149">
        <f>231745.35+8330+230820.4</f>
        <v>470895.75</v>
      </c>
      <c r="V20" s="340">
        <f>11236879+1556838+909454</f>
        <v>13703171</v>
      </c>
      <c r="W20" s="150">
        <f>22766703.2+4395536.4+112250</f>
        <v>27274489.600000001</v>
      </c>
      <c r="X20" s="150">
        <f t="shared" si="14"/>
        <v>14742642.26</v>
      </c>
      <c r="Y20" s="636">
        <f t="shared" si="6"/>
        <v>12531847.34</v>
      </c>
      <c r="Z20" s="498">
        <f>T20+U20+V20+W20</f>
        <v>75216046.349999994</v>
      </c>
      <c r="AA20" s="364">
        <f>T20+U20+V20+X20</f>
        <v>62684199.009999998</v>
      </c>
      <c r="AB20" s="364">
        <f t="shared" si="9"/>
        <v>12531847.34</v>
      </c>
      <c r="AC20" s="636">
        <f>3597031.68+102188.4</f>
        <v>3699220.08</v>
      </c>
      <c r="AD20" s="149">
        <f t="shared" si="16"/>
        <v>75216046.349999994</v>
      </c>
      <c r="AE20" s="149">
        <f>2304254.93+89977.11+2772000</f>
        <v>5166232.04</v>
      </c>
      <c r="AF20" s="149">
        <f t="shared" si="2"/>
        <v>62213303.259999998</v>
      </c>
      <c r="AG20" s="534" t="e">
        <f>AE20/#REF!</f>
        <v>#REF!</v>
      </c>
      <c r="AH20" s="534">
        <f t="shared" si="3"/>
        <v>1.135543221</v>
      </c>
      <c r="AI20" s="535" t="s">
        <v>171</v>
      </c>
      <c r="AJ20" s="149">
        <f>61343676.2+319759.14</f>
        <v>61663435.340000004</v>
      </c>
      <c r="AK20" s="149">
        <v>61343676.200000003</v>
      </c>
      <c r="AL20" s="148" t="s">
        <v>171</v>
      </c>
      <c r="AM20" s="770">
        <f t="shared" si="11"/>
        <v>-2909505.32</v>
      </c>
      <c r="AO20" s="663">
        <v>3152886</v>
      </c>
      <c r="AT20" s="151"/>
    </row>
    <row r="21" spans="1:46" ht="27" customHeight="1" x14ac:dyDescent="0.25">
      <c r="A21" s="152" t="s">
        <v>119</v>
      </c>
      <c r="B21" s="153">
        <f t="shared" ref="B21:O21" si="18">SUM(B11:B20)</f>
        <v>325452776.68000001</v>
      </c>
      <c r="C21" s="153">
        <f>C15+C17+C19+C20</f>
        <v>833000</v>
      </c>
      <c r="D21" s="153">
        <f t="shared" si="18"/>
        <v>73724962.840000004</v>
      </c>
      <c r="E21" s="153">
        <f t="shared" si="18"/>
        <v>22011381.359999999</v>
      </c>
      <c r="F21" s="153">
        <f t="shared" si="18"/>
        <v>422022120.88</v>
      </c>
      <c r="G21" s="153">
        <f t="shared" si="18"/>
        <v>174524589.25999999</v>
      </c>
      <c r="H21" s="153">
        <f>H11+H15+H16+H17+H19+H20</f>
        <v>1782209</v>
      </c>
      <c r="I21" s="153">
        <f t="shared" si="18"/>
        <v>72081863.25</v>
      </c>
      <c r="J21" s="153">
        <f>SUM(J11:J20)</f>
        <v>81680528.069999993</v>
      </c>
      <c r="K21" s="153">
        <f t="shared" si="18"/>
        <v>73724962.840000004</v>
      </c>
      <c r="L21" s="153">
        <f>SUM(J21:K21)</f>
        <v>155405490.91</v>
      </c>
      <c r="M21" s="153">
        <f t="shared" si="18"/>
        <v>22011381.359999999</v>
      </c>
      <c r="N21" s="153">
        <f>G21+H21+I21+L21+M21</f>
        <v>425805533.77999997</v>
      </c>
      <c r="O21" s="149">
        <f t="shared" si="18"/>
        <v>0</v>
      </c>
      <c r="P21" s="150">
        <f t="shared" si="5"/>
        <v>1.1100000000000001</v>
      </c>
      <c r="Q21" s="150">
        <v>0</v>
      </c>
      <c r="R21" s="150">
        <f t="shared" si="13"/>
        <v>1.1299999999999999</v>
      </c>
      <c r="S21" s="150">
        <f t="shared" si="17"/>
        <v>1.18</v>
      </c>
      <c r="T21" s="498">
        <f t="shared" ref="T21:AD21" si="19">SUM(T11:T20)</f>
        <v>194280200</v>
      </c>
      <c r="U21" s="498">
        <f>U11+U15+U16+U17+U19+U20</f>
        <v>1782209</v>
      </c>
      <c r="V21" s="498">
        <f t="shared" si="19"/>
        <v>81701800</v>
      </c>
      <c r="W21" s="153">
        <f>SUM(W11:W20)</f>
        <v>183808691.80000001</v>
      </c>
      <c r="X21" s="153">
        <f t="shared" si="19"/>
        <v>97076018.530000001</v>
      </c>
      <c r="Y21" s="638">
        <f t="shared" si="19"/>
        <v>86732673.269999996</v>
      </c>
      <c r="Z21" s="498">
        <f t="shared" si="19"/>
        <v>461572900.80000001</v>
      </c>
      <c r="AA21" s="365">
        <f t="shared" si="19"/>
        <v>374840227.52999997</v>
      </c>
      <c r="AB21" s="365">
        <f t="shared" si="19"/>
        <v>86732673.269999996</v>
      </c>
      <c r="AC21" s="638">
        <f t="shared" si="19"/>
        <v>21520877.039999999</v>
      </c>
      <c r="AD21" s="498">
        <f t="shared" si="19"/>
        <v>461572900.80000001</v>
      </c>
      <c r="AE21" s="498" t="e">
        <f>O21-N21-#REF!</f>
        <v>#REF!</v>
      </c>
      <c r="AF21" s="498" t="e">
        <f>#REF!-O21-#REF!</f>
        <v>#REF!</v>
      </c>
      <c r="AG21" s="498" t="e">
        <f>#REF!-#REF!-T21</f>
        <v>#REF!</v>
      </c>
      <c r="AH21" s="498" t="e">
        <f>T21-#REF!-V21</f>
        <v>#REF!</v>
      </c>
      <c r="AI21" s="498">
        <f>V21-T21-W21</f>
        <v>-296387091.80000001</v>
      </c>
      <c r="AJ21" s="498">
        <f>SUM(AJ11:AJ20)</f>
        <v>384887090.43000001</v>
      </c>
      <c r="AK21" s="498">
        <f>SUM(AK11:AK20)</f>
        <v>383700558.43000001</v>
      </c>
      <c r="AL21" s="152" t="s">
        <v>119</v>
      </c>
      <c r="AM21" s="770">
        <f>SUM(AM11:AM20)</f>
        <v>-29184598.57</v>
      </c>
      <c r="AO21" s="664">
        <f t="shared" ref="AO21" si="20">SUM(AO11:AO20)</f>
        <v>19362832.5</v>
      </c>
      <c r="AT21" s="154"/>
    </row>
    <row r="22" spans="1:46" x14ac:dyDescent="0.25">
      <c r="A22" s="128"/>
      <c r="B22" s="128"/>
      <c r="C22" s="128"/>
      <c r="D22" s="128"/>
      <c r="E22" s="128"/>
      <c r="F22" s="128"/>
      <c r="I22" s="128"/>
      <c r="J22" s="128"/>
      <c r="K22" s="128"/>
      <c r="L22" s="128"/>
      <c r="M22" s="128"/>
      <c r="N22" s="128"/>
      <c r="O22" s="128"/>
      <c r="T22" s="155"/>
      <c r="U22" s="155"/>
      <c r="V22" s="155"/>
      <c r="W22" s="155"/>
      <c r="X22" s="510"/>
      <c r="Y22" s="510"/>
      <c r="Z22" s="156"/>
      <c r="AA22" s="817"/>
      <c r="AB22" s="817"/>
      <c r="AC22" s="156"/>
    </row>
    <row r="23" spans="1:46" hidden="1" x14ac:dyDescent="0.25">
      <c r="W23" s="75">
        <v>9093938.6199999992</v>
      </c>
      <c r="Z23" s="75"/>
      <c r="AA23" s="75"/>
      <c r="AB23" s="75"/>
      <c r="AC23" s="75"/>
      <c r="AD23" s="157"/>
    </row>
    <row r="24" spans="1:46" hidden="1" x14ac:dyDescent="0.25">
      <c r="W24" s="75">
        <f>W21+W23</f>
        <v>192902630.41999999</v>
      </c>
      <c r="Z24" s="75"/>
      <c r="AA24" s="75"/>
      <c r="AB24" s="75"/>
      <c r="AC24" s="75"/>
    </row>
    <row r="25" spans="1:46" x14ac:dyDescent="0.25">
      <c r="G25" s="157"/>
      <c r="L25" s="75"/>
      <c r="N25" s="781">
        <f>G21+I21+L21+M21</f>
        <v>424023324.77999997</v>
      </c>
      <c r="W25" s="75"/>
      <c r="Z25" s="75"/>
      <c r="AA25" s="75"/>
      <c r="AB25" s="75"/>
      <c r="AC25" s="75"/>
    </row>
    <row r="26" spans="1:46" x14ac:dyDescent="0.25">
      <c r="I26" s="75"/>
      <c r="L26" s="75"/>
      <c r="N26" s="781"/>
      <c r="V26" s="75"/>
      <c r="W26" s="75"/>
      <c r="Z26" s="781">
        <f>Z21-N21</f>
        <v>35767367.020000003</v>
      </c>
      <c r="AA26" s="75"/>
      <c r="AB26" s="75"/>
      <c r="AC26" s="75"/>
    </row>
    <row r="27" spans="1:46" x14ac:dyDescent="0.25">
      <c r="I27" s="75"/>
      <c r="N27" s="781">
        <f>G21+I21+J21</f>
        <v>328286980.57999998</v>
      </c>
      <c r="Z27" s="75"/>
      <c r="AA27" s="75"/>
      <c r="AB27" s="75"/>
      <c r="AC27" s="75"/>
    </row>
    <row r="28" spans="1:46" x14ac:dyDescent="0.25">
      <c r="I28" s="75"/>
      <c r="Z28" s="75"/>
      <c r="AA28" s="75"/>
      <c r="AB28" s="75"/>
      <c r="AC28" s="75"/>
    </row>
    <row r="29" spans="1:46" x14ac:dyDescent="0.25">
      <c r="Z29" s="75"/>
      <c r="AA29" s="75"/>
      <c r="AB29" s="75"/>
      <c r="AC29" s="75"/>
    </row>
    <row r="30" spans="1:46" x14ac:dyDescent="0.25">
      <c r="G30" s="157"/>
      <c r="H30" s="157"/>
      <c r="I30" s="75"/>
      <c r="Z30" s="75"/>
      <c r="AA30" s="75"/>
      <c r="AB30" s="75"/>
      <c r="AC30" s="75"/>
    </row>
    <row r="31" spans="1:46" x14ac:dyDescent="0.25">
      <c r="I31" s="75"/>
      <c r="J31" s="78"/>
      <c r="W31" s="78"/>
      <c r="X31" s="78"/>
    </row>
    <row r="32" spans="1:46" x14ac:dyDescent="0.25">
      <c r="A32" s="48" t="s">
        <v>78</v>
      </c>
      <c r="I32" s="75"/>
    </row>
    <row r="33" spans="4:37" hidden="1" x14ac:dyDescent="0.25">
      <c r="J33" s="921">
        <f>J21+K21</f>
        <v>155405490.91</v>
      </c>
      <c r="K33" s="921"/>
      <c r="L33" s="496"/>
      <c r="N33" s="75"/>
      <c r="W33" s="921">
        <f>W21+Y21</f>
        <v>270541365.06999999</v>
      </c>
      <c r="X33" s="921"/>
      <c r="Y33" s="921"/>
    </row>
    <row r="34" spans="4:37" x14ac:dyDescent="0.25">
      <c r="I34" s="75"/>
      <c r="K34" s="75"/>
      <c r="L34" s="75"/>
      <c r="AJ34" s="75"/>
      <c r="AK34" s="75"/>
    </row>
    <row r="36" spans="4:37" x14ac:dyDescent="0.25">
      <c r="D36" s="75"/>
      <c r="J36" s="75"/>
      <c r="N36" s="75"/>
    </row>
    <row r="39" spans="4:37" x14ac:dyDescent="0.25">
      <c r="J39" s="75"/>
    </row>
  </sheetData>
  <mergeCells count="28">
    <mergeCell ref="B7:E7"/>
    <mergeCell ref="G7:N7"/>
    <mergeCell ref="G8:I8"/>
    <mergeCell ref="P7:S7"/>
    <mergeCell ref="T7:AB7"/>
    <mergeCell ref="V8:V9"/>
    <mergeCell ref="AL7:AL9"/>
    <mergeCell ref="AD4:AJ4"/>
    <mergeCell ref="A5:Y5"/>
    <mergeCell ref="A6:E6"/>
    <mergeCell ref="A7:A9"/>
    <mergeCell ref="F7:F9"/>
    <mergeCell ref="AE7:AE9"/>
    <mergeCell ref="J8:M8"/>
    <mergeCell ref="AI7:AI9"/>
    <mergeCell ref="AA8:AB8"/>
    <mergeCell ref="Z8:Z9"/>
    <mergeCell ref="AG7:AG9"/>
    <mergeCell ref="AH7:AH9"/>
    <mergeCell ref="X8:Y8"/>
    <mergeCell ref="W8:W9"/>
    <mergeCell ref="T8:T9"/>
    <mergeCell ref="AF7:AF9"/>
    <mergeCell ref="AC7:AC9"/>
    <mergeCell ref="AB2:AC2"/>
    <mergeCell ref="AB3:AC3"/>
    <mergeCell ref="J33:K33"/>
    <mergeCell ref="W33:Y33"/>
  </mergeCells>
  <pageMargins left="0" right="0" top="0.55118110236220474" bottom="0.55118110236220474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B66"/>
  <sheetViews>
    <sheetView workbookViewId="0">
      <selection activeCell="O11" sqref="O11"/>
    </sheetView>
  </sheetViews>
  <sheetFormatPr defaultColWidth="9.109375" defaultRowHeight="13.8" x14ac:dyDescent="0.25"/>
  <cols>
    <col min="1" max="1" width="14" style="1" customWidth="1"/>
    <col min="2" max="2" width="22.33203125" style="1" customWidth="1"/>
    <col min="3" max="3" width="9" style="1" customWidth="1"/>
    <col min="4" max="4" width="11.109375" style="1" customWidth="1"/>
    <col min="5" max="5" width="18.33203125" style="1" hidden="1" customWidth="1"/>
    <col min="6" max="6" width="13.33203125" style="1" hidden="1" customWidth="1"/>
    <col min="7" max="7" width="11.109375" style="1" customWidth="1"/>
    <col min="8" max="8" width="11.44140625" style="1" customWidth="1"/>
    <col min="9" max="9" width="9.5546875" style="1" customWidth="1"/>
    <col min="10" max="10" width="13.33203125" style="1" customWidth="1"/>
    <col min="11" max="11" width="9.6640625" style="1" customWidth="1"/>
    <col min="12" max="12" width="13.44140625" style="1" customWidth="1"/>
    <col min="13" max="13" width="10.109375" style="1" customWidth="1"/>
    <col min="14" max="14" width="13.5546875" style="1" customWidth="1"/>
    <col min="15" max="15" width="3.6640625" style="1" customWidth="1"/>
    <col min="16" max="16" width="3.44140625" style="1" customWidth="1"/>
    <col min="17" max="17" width="5.6640625" style="1" hidden="1" customWidth="1"/>
    <col min="18" max="18" width="8.6640625" style="1" hidden="1" customWidth="1"/>
    <col min="19" max="19" width="8" style="1" hidden="1" customWidth="1"/>
    <col min="20" max="20" width="10.88671875" style="1" hidden="1" customWidth="1"/>
    <col min="21" max="21" width="5.6640625" style="1" hidden="1" customWidth="1"/>
    <col min="22" max="22" width="8.33203125" style="1" hidden="1" customWidth="1"/>
    <col min="23" max="23" width="11.33203125" style="1" hidden="1" customWidth="1"/>
    <col min="24" max="26" width="10.88671875" style="1" hidden="1" customWidth="1"/>
    <col min="27" max="31" width="10.88671875" style="1" customWidth="1"/>
    <col min="32" max="32" width="6.33203125" style="1" customWidth="1"/>
    <col min="33" max="43" width="5.6640625" style="1" customWidth="1"/>
    <col min="44" max="44" width="7.33203125" style="1" hidden="1" customWidth="1"/>
    <col min="45" max="45" width="9.44140625" style="1" hidden="1" customWidth="1"/>
    <col min="46" max="46" width="9.88671875" style="1" hidden="1" customWidth="1"/>
    <col min="47" max="47" width="13.33203125" style="1" hidden="1" customWidth="1"/>
    <col min="48" max="48" width="5.33203125" style="1" hidden="1" customWidth="1"/>
    <col min="49" max="49" width="9.109375" style="1" hidden="1" customWidth="1"/>
    <col min="50" max="50" width="11.33203125" style="1" hidden="1" customWidth="1"/>
    <col min="51" max="51" width="12.5546875" style="1" hidden="1" customWidth="1"/>
    <col min="52" max="52" width="5.33203125" style="1" hidden="1" customWidth="1"/>
    <col min="53" max="53" width="8.88671875" style="1" hidden="1" customWidth="1"/>
    <col min="54" max="55" width="12.6640625" style="1" hidden="1" customWidth="1"/>
    <col min="56" max="57" width="5.33203125" style="1" hidden="1" customWidth="1"/>
    <col min="58" max="58" width="12" style="1" hidden="1" customWidth="1"/>
    <col min="59" max="59" width="10.5546875" style="1" hidden="1" customWidth="1"/>
    <col min="60" max="60" width="11.33203125" style="1" hidden="1" customWidth="1"/>
    <col min="61" max="61" width="10.33203125" style="1" hidden="1" customWidth="1"/>
    <col min="62" max="62" width="10.5546875" style="1" hidden="1" customWidth="1"/>
    <col min="63" max="63" width="13.109375" style="1" hidden="1" customWidth="1"/>
    <col min="64" max="64" width="11.109375" style="1" hidden="1" customWidth="1"/>
    <col min="65" max="65" width="10.6640625" style="1" hidden="1" customWidth="1"/>
    <col min="66" max="66" width="12.33203125" style="1" hidden="1" customWidth="1"/>
    <col min="67" max="67" width="5.5546875" style="1" hidden="1" customWidth="1"/>
    <col min="68" max="68" width="9" style="1" hidden="1" customWidth="1"/>
    <col min="69" max="69" width="12.33203125" style="1" hidden="1" customWidth="1"/>
    <col min="70" max="70" width="10.44140625" style="1" hidden="1" customWidth="1"/>
    <col min="71" max="71" width="11.6640625" style="1" hidden="1" customWidth="1"/>
    <col min="72" max="72" width="9.33203125" style="1" hidden="1" customWidth="1"/>
    <col min="73" max="73" width="11.6640625" style="1" hidden="1" customWidth="1"/>
    <col min="74" max="74" width="9.109375" style="1" hidden="1" customWidth="1"/>
    <col min="75" max="75" width="12.88671875" style="1" hidden="1" customWidth="1"/>
    <col min="76" max="76" width="10.33203125" style="1" hidden="1" customWidth="1"/>
    <col min="77" max="77" width="11.88671875" style="1" hidden="1" customWidth="1"/>
    <col min="78" max="78" width="10.6640625" style="1" hidden="1" customWidth="1"/>
    <col min="79" max="79" width="13" style="1" hidden="1" customWidth="1"/>
    <col min="80" max="80" width="8.6640625" style="1" hidden="1" customWidth="1"/>
    <col min="81" max="81" width="4.6640625" style="1" hidden="1" customWidth="1"/>
    <col min="82" max="82" width="10.44140625" style="1" hidden="1" customWidth="1"/>
    <col min="83" max="83" width="10.109375" style="1" hidden="1" customWidth="1"/>
    <col min="84" max="84" width="14" style="1" hidden="1" customWidth="1"/>
    <col min="85" max="85" width="6.6640625" style="1" hidden="1" customWidth="1"/>
    <col min="86" max="86" width="8.44140625" style="1" hidden="1" customWidth="1"/>
    <col min="87" max="87" width="8.88671875" style="1" hidden="1" customWidth="1"/>
    <col min="88" max="88" width="10.33203125" style="1" hidden="1" customWidth="1"/>
    <col min="89" max="89" width="5.33203125" style="1" hidden="1" customWidth="1"/>
    <col min="90" max="90" width="7.33203125" style="1" hidden="1" customWidth="1"/>
    <col min="91" max="91" width="9" style="1" hidden="1" customWidth="1"/>
    <col min="92" max="92" width="11.33203125" style="1" hidden="1" customWidth="1"/>
    <col min="93" max="93" width="5.33203125" style="1" hidden="1" customWidth="1"/>
    <col min="94" max="94" width="12.5546875" style="1" hidden="1" customWidth="1"/>
    <col min="95" max="95" width="10.6640625" style="1" hidden="1" customWidth="1"/>
    <col min="96" max="96" width="11.88671875" style="1" hidden="1" customWidth="1"/>
    <col min="97" max="97" width="7.88671875" style="1" hidden="1" customWidth="1"/>
    <col min="98" max="98" width="4" style="1" hidden="1" customWidth="1"/>
    <col min="99" max="99" width="11.88671875" style="1" hidden="1" customWidth="1"/>
    <col min="100" max="100" width="10.5546875" style="1" hidden="1" customWidth="1"/>
    <col min="101" max="101" width="12.33203125" style="1" hidden="1" customWidth="1"/>
    <col min="102" max="102" width="6.6640625" style="1" hidden="1" customWidth="1"/>
    <col min="103" max="103" width="6.5546875" style="1" customWidth="1"/>
    <col min="104" max="104" width="9.88671875" style="1" hidden="1" customWidth="1"/>
    <col min="105" max="105" width="8" style="1" hidden="1" customWidth="1"/>
    <col min="106" max="106" width="11.6640625" style="1" hidden="1" customWidth="1"/>
    <col min="107" max="107" width="3.6640625" style="1" hidden="1" customWidth="1"/>
    <col min="108" max="108" width="4.88671875" style="1" hidden="1" customWidth="1"/>
    <col min="109" max="109" width="14.109375" style="1" hidden="1" customWidth="1"/>
    <col min="110" max="110" width="13" style="1" hidden="1" customWidth="1"/>
    <col min="111" max="111" width="10.88671875" style="1" hidden="1" customWidth="1"/>
    <col min="112" max="112" width="11.44140625" style="1" hidden="1" customWidth="1"/>
    <col min="113" max="113" width="5.33203125" style="1" hidden="1" customWidth="1"/>
    <col min="114" max="114" width="11.6640625" style="1" hidden="1" customWidth="1"/>
    <col min="115" max="115" width="12.33203125" style="1" hidden="1" customWidth="1"/>
    <col min="116" max="116" width="10" style="1" hidden="1" customWidth="1"/>
    <col min="117" max="117" width="15.6640625" style="1" hidden="1" customWidth="1"/>
    <col min="118" max="118" width="15.33203125" style="1" hidden="1" customWidth="1"/>
    <col min="119" max="120" width="12.33203125" style="1" hidden="1" customWidth="1"/>
    <col min="121" max="121" width="12.44140625" style="1" hidden="1" customWidth="1"/>
    <col min="122" max="122" width="25.88671875" style="1" hidden="1" customWidth="1"/>
    <col min="123" max="123" width="13.5546875" style="1" hidden="1" customWidth="1"/>
    <col min="124" max="124" width="10.5546875" style="1" hidden="1" customWidth="1"/>
    <col min="125" max="125" width="9.88671875" style="1" hidden="1" customWidth="1"/>
    <col min="126" max="126" width="9" style="1" hidden="1" customWidth="1"/>
    <col min="127" max="127" width="11.33203125" style="1" hidden="1" customWidth="1"/>
    <col min="128" max="128" width="10.109375" style="1" hidden="1" customWidth="1"/>
    <col min="129" max="129" width="15.44140625" style="1" hidden="1" customWidth="1"/>
    <col min="130" max="130" width="7.88671875" style="1" hidden="1" customWidth="1"/>
    <col min="131" max="131" width="12.33203125" style="1" hidden="1" customWidth="1"/>
    <col min="132" max="132" width="13.33203125" style="1" hidden="1" customWidth="1"/>
    <col min="133" max="133" width="12.33203125" style="1" hidden="1" customWidth="1"/>
    <col min="134" max="134" width="11.44140625" style="1" hidden="1" customWidth="1"/>
    <col min="135" max="135" width="17" style="1" hidden="1" customWidth="1"/>
    <col min="136" max="136" width="11.109375" style="1" hidden="1" customWidth="1"/>
    <col min="137" max="139" width="10.33203125" style="1" hidden="1" customWidth="1"/>
    <col min="140" max="140" width="9.6640625" style="1" hidden="1" customWidth="1"/>
    <col min="141" max="141" width="9.44140625" style="1" hidden="1" customWidth="1"/>
    <col min="142" max="142" width="3.6640625" style="1" hidden="1" customWidth="1"/>
    <col min="143" max="143" width="12.6640625" style="1" hidden="1" customWidth="1"/>
    <col min="144" max="144" width="11.6640625" style="1" hidden="1" customWidth="1"/>
    <col min="145" max="147" width="10.33203125" style="1" hidden="1" customWidth="1"/>
    <col min="148" max="148" width="11" style="1" hidden="1" customWidth="1"/>
    <col min="149" max="149" width="10.33203125" style="1" hidden="1" customWidth="1"/>
    <col min="150" max="150" width="9.88671875" style="1" hidden="1" customWidth="1"/>
    <col min="151" max="151" width="10.33203125" style="1" hidden="1" customWidth="1"/>
    <col min="152" max="152" width="9.88671875" style="1" hidden="1" customWidth="1"/>
    <col min="153" max="153" width="3.88671875" style="1" hidden="1" customWidth="1"/>
    <col min="154" max="154" width="14.6640625" style="1" hidden="1" customWidth="1"/>
    <col min="155" max="155" width="12.5546875" style="1" hidden="1" customWidth="1"/>
    <col min="156" max="164" width="9.88671875" style="1" hidden="1" customWidth="1"/>
    <col min="165" max="165" width="3.5546875" style="1" hidden="1" customWidth="1"/>
    <col min="166" max="166" width="13.88671875" style="1" hidden="1" customWidth="1"/>
    <col min="167" max="167" width="13.6640625" style="1" hidden="1" customWidth="1"/>
    <col min="168" max="168" width="10" style="1" hidden="1" customWidth="1"/>
    <col min="169" max="169" width="9.6640625" style="1" hidden="1" customWidth="1"/>
    <col min="170" max="170" width="9.88671875" style="1" hidden="1" customWidth="1"/>
    <col min="171" max="171" width="11.33203125" style="1" hidden="1" customWidth="1"/>
    <col min="172" max="172" width="10.109375" style="1" hidden="1" customWidth="1"/>
    <col min="173" max="173" width="11.33203125" style="1" hidden="1" customWidth="1"/>
    <col min="174" max="174" width="9.33203125" style="1" hidden="1" customWidth="1"/>
    <col min="175" max="175" width="9.88671875" style="1" hidden="1" customWidth="1"/>
    <col min="176" max="176" width="8.44140625" style="1" hidden="1" customWidth="1"/>
    <col min="177" max="177" width="7.6640625" style="1" hidden="1" customWidth="1"/>
    <col min="178" max="178" width="11.33203125" style="1" hidden="1" customWidth="1"/>
    <col min="179" max="179" width="10.109375" style="1" hidden="1" customWidth="1"/>
    <col min="180" max="180" width="9.88671875" style="1" hidden="1" customWidth="1"/>
    <col min="181" max="181" width="10.88671875" style="1" hidden="1" customWidth="1"/>
    <col min="182" max="182" width="12.33203125" style="1" hidden="1" customWidth="1"/>
    <col min="183" max="183" width="11" style="1" hidden="1" customWidth="1"/>
    <col min="184" max="184" width="12.44140625" style="1" hidden="1" customWidth="1"/>
    <col min="185" max="185" width="12.6640625" style="1" hidden="1" customWidth="1"/>
    <col min="186" max="186" width="10.33203125" style="1" customWidth="1"/>
    <col min="187" max="189" width="9.88671875" style="1" customWidth="1"/>
    <col min="190" max="190" width="10.6640625" style="1" customWidth="1"/>
    <col min="191" max="200" width="9.88671875" style="1" customWidth="1"/>
    <col min="201" max="201" width="8.33203125" style="1" customWidth="1"/>
    <col min="202" max="202" width="8.33203125" style="1" hidden="1" customWidth="1"/>
    <col min="203" max="203" width="12.33203125" style="1" hidden="1" customWidth="1"/>
    <col min="204" max="204" width="12.88671875" style="1" hidden="1" customWidth="1"/>
    <col min="205" max="205" width="12.109375" style="1" hidden="1" customWidth="1"/>
    <col min="206" max="206" width="12.5546875" style="1" hidden="1" customWidth="1"/>
    <col min="207" max="207" width="7.44140625" style="1" hidden="1" customWidth="1"/>
    <col min="208" max="208" width="9.44140625" style="1" hidden="1" customWidth="1"/>
    <col min="209" max="209" width="10.88671875" style="1" hidden="1" customWidth="1"/>
    <col min="210" max="210" width="12.6640625" style="1" hidden="1" customWidth="1"/>
    <col min="211" max="211" width="11.88671875" style="1" hidden="1" customWidth="1"/>
    <col min="212" max="212" width="17.5546875" style="1" hidden="1" customWidth="1"/>
    <col min="213" max="213" width="13.5546875" style="1" hidden="1" customWidth="1"/>
    <col min="214" max="214" width="12.6640625" style="1" hidden="1" customWidth="1"/>
    <col min="215" max="215" width="15.33203125" style="1" hidden="1" customWidth="1"/>
    <col min="216" max="216" width="12.6640625" style="1" hidden="1" customWidth="1"/>
    <col min="217" max="217" width="13.6640625" style="1" hidden="1" customWidth="1"/>
    <col min="218" max="218" width="5.109375" style="1" hidden="1" customWidth="1"/>
    <col min="219" max="219" width="12.33203125" style="1" hidden="1" customWidth="1"/>
    <col min="220" max="221" width="12.6640625" style="1" hidden="1" customWidth="1"/>
    <col min="222" max="222" width="14.5546875" style="1" hidden="1" customWidth="1"/>
    <col min="223" max="227" width="12.6640625" style="1" hidden="1" customWidth="1"/>
    <col min="228" max="228" width="12.33203125" style="1" hidden="1" customWidth="1"/>
    <col min="229" max="229" width="10.109375" style="1" hidden="1" customWidth="1"/>
    <col min="230" max="232" width="12.6640625" style="1" hidden="1" customWidth="1"/>
    <col min="233" max="233" width="5.6640625" style="1" hidden="1" customWidth="1"/>
    <col min="234" max="234" width="14.33203125" style="1" hidden="1" customWidth="1"/>
    <col min="235" max="235" width="10.88671875" style="1" hidden="1" customWidth="1"/>
    <col min="236" max="236" width="12" style="1" hidden="1" customWidth="1"/>
    <col min="237" max="237" width="5.88671875" style="1" hidden="1" customWidth="1"/>
    <col min="238" max="238" width="14.6640625" style="1" hidden="1" customWidth="1"/>
    <col min="239" max="239" width="10.88671875" style="1" hidden="1" customWidth="1"/>
    <col min="240" max="240" width="12.5546875" style="1" hidden="1" customWidth="1"/>
    <col min="241" max="241" width="4.88671875" style="1" hidden="1" customWidth="1"/>
    <col min="242" max="242" width="16.33203125" style="1" hidden="1" customWidth="1"/>
    <col min="243" max="243" width="14.33203125" style="1" hidden="1" customWidth="1"/>
    <col min="244" max="244" width="12.88671875" style="1" hidden="1" customWidth="1"/>
    <col min="245" max="245" width="10.33203125" style="1" hidden="1" customWidth="1"/>
    <col min="246" max="246" width="7" style="1" hidden="1" customWidth="1"/>
    <col min="247" max="247" width="17.33203125" style="1" hidden="1" customWidth="1"/>
    <col min="248" max="248" width="15" style="1" hidden="1" customWidth="1"/>
    <col min="249" max="249" width="12.88671875" style="1" hidden="1" customWidth="1"/>
    <col min="250" max="250" width="15.44140625" style="1" hidden="1" customWidth="1"/>
    <col min="251" max="251" width="15.109375" style="1" hidden="1" customWidth="1"/>
    <col min="252" max="252" width="13.6640625" style="1" hidden="1" customWidth="1"/>
    <col min="253" max="253" width="5.6640625" style="1" hidden="1" customWidth="1"/>
    <col min="254" max="254" width="13.5546875" style="1" hidden="1" customWidth="1"/>
    <col min="255" max="255" width="18" style="1" hidden="1" customWidth="1"/>
    <col min="256" max="256" width="16.88671875" style="1" hidden="1" customWidth="1"/>
    <col min="257" max="257" width="14" style="1" hidden="1" customWidth="1"/>
    <col min="258" max="258" width="10.33203125" style="1" hidden="1" customWidth="1"/>
    <col min="259" max="259" width="10.88671875" style="1" hidden="1" customWidth="1"/>
    <col min="260" max="260" width="8.44140625" style="1" hidden="1" customWidth="1"/>
    <col min="261" max="261" width="6.88671875" style="1" hidden="1" customWidth="1"/>
    <col min="262" max="262" width="7.109375" style="1" hidden="1" customWidth="1"/>
    <col min="263" max="263" width="7.6640625" style="1" hidden="1" customWidth="1"/>
    <col min="264" max="264" width="10.88671875" style="1" hidden="1" customWidth="1"/>
    <col min="265" max="265" width="12.44140625" style="1" hidden="1" customWidth="1"/>
    <col min="266" max="266" width="11.44140625" style="1" hidden="1" customWidth="1"/>
    <col min="267" max="267" width="12" style="1" hidden="1" customWidth="1"/>
    <col min="268" max="268" width="11.109375" style="1" hidden="1" customWidth="1"/>
    <col min="269" max="269" width="12" style="1" hidden="1" customWidth="1"/>
    <col min="270" max="270" width="12.33203125" style="1" hidden="1" customWidth="1"/>
    <col min="271" max="272" width="13" style="1" hidden="1" customWidth="1"/>
    <col min="273" max="273" width="4.33203125" style="1" hidden="1" customWidth="1"/>
    <col min="274" max="274" width="12" style="258" hidden="1" customWidth="1"/>
    <col min="275" max="275" width="9.109375" style="258" hidden="1" customWidth="1"/>
    <col min="276" max="276" width="9.5546875" style="258" hidden="1" customWidth="1"/>
    <col min="277" max="277" width="10.6640625" style="258" hidden="1" customWidth="1"/>
    <col min="278" max="278" width="6.5546875" style="258" hidden="1" customWidth="1"/>
    <col min="279" max="279" width="10.33203125" style="258" hidden="1" customWidth="1"/>
    <col min="280" max="280" width="10.6640625" style="258" hidden="1" customWidth="1"/>
    <col min="281" max="281" width="7.109375" style="258" hidden="1" customWidth="1"/>
    <col min="282" max="282" width="1.33203125" style="258" hidden="1" customWidth="1"/>
    <col min="283" max="283" width="10" style="258" hidden="1" customWidth="1"/>
    <col min="284" max="284" width="12.88671875" style="258" hidden="1" customWidth="1"/>
    <col min="285" max="285" width="11.33203125" style="258" hidden="1" customWidth="1"/>
    <col min="286" max="286" width="12.6640625" style="1" hidden="1" customWidth="1"/>
    <col min="287" max="287" width="9.6640625" style="1" hidden="1" customWidth="1"/>
    <col min="288" max="288" width="0" style="1" hidden="1" customWidth="1"/>
    <col min="289" max="16384" width="9.109375" style="1"/>
  </cols>
  <sheetData>
    <row r="1" spans="1:288" ht="9.6" customHeight="1" x14ac:dyDescent="0.25">
      <c r="L1" s="3"/>
      <c r="M1" s="3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155"/>
      <c r="CQ1" s="155"/>
      <c r="CR1" s="155"/>
      <c r="CS1" s="155"/>
      <c r="CT1" s="155"/>
      <c r="CU1" s="155"/>
      <c r="CV1" s="155"/>
      <c r="CW1" s="155"/>
      <c r="CX1" s="155"/>
      <c r="CY1" s="155"/>
      <c r="CZ1" s="155"/>
      <c r="DA1" s="155"/>
      <c r="DB1" s="155"/>
      <c r="DC1" s="155"/>
      <c r="DD1" s="155"/>
      <c r="DE1" s="155"/>
      <c r="DF1" s="155"/>
      <c r="DG1" s="155"/>
      <c r="DH1" s="155"/>
      <c r="DI1" s="510"/>
      <c r="DJ1" s="510"/>
      <c r="DK1" s="510"/>
      <c r="DL1" s="155"/>
      <c r="DM1" s="155"/>
      <c r="DN1" s="155"/>
      <c r="DO1" s="155"/>
      <c r="DP1" s="155"/>
      <c r="DQ1" s="155"/>
      <c r="DR1" s="155"/>
      <c r="DS1" s="155"/>
      <c r="DT1" s="155"/>
      <c r="DU1" s="155"/>
      <c r="DV1" s="155"/>
      <c r="DW1" s="155"/>
      <c r="DX1" s="155"/>
      <c r="DY1" s="155"/>
      <c r="DZ1" s="510"/>
      <c r="EA1" s="510"/>
      <c r="EB1" s="510"/>
      <c r="EC1" s="510"/>
      <c r="ED1" s="510"/>
      <c r="EE1" s="510"/>
      <c r="EF1" s="155"/>
      <c r="EG1" s="155"/>
      <c r="EH1" s="155"/>
      <c r="EI1" s="155"/>
      <c r="EJ1" s="155"/>
      <c r="EK1" s="155"/>
      <c r="EL1" s="510"/>
      <c r="EM1" s="510"/>
      <c r="EN1" s="510"/>
      <c r="EO1" s="510"/>
      <c r="EP1" s="510"/>
      <c r="EQ1" s="510"/>
      <c r="ER1" s="510"/>
      <c r="ES1" s="510"/>
      <c r="ET1" s="510"/>
      <c r="EU1" s="510"/>
      <c r="EV1" s="510"/>
      <c r="EW1" s="510"/>
      <c r="EX1" s="510"/>
      <c r="EY1" s="510"/>
      <c r="EZ1" s="510"/>
      <c r="FA1" s="510"/>
      <c r="FB1" s="510"/>
      <c r="FC1" s="510"/>
      <c r="FD1" s="510"/>
      <c r="FE1" s="510"/>
      <c r="FF1" s="510"/>
      <c r="FG1" s="510"/>
      <c r="FH1" s="510"/>
      <c r="FI1" s="510"/>
      <c r="FJ1" s="510"/>
      <c r="FK1" s="510"/>
      <c r="FL1" s="510"/>
      <c r="FM1" s="510"/>
      <c r="FN1" s="510"/>
      <c r="FO1" s="510"/>
      <c r="FP1" s="510"/>
      <c r="FQ1" s="510"/>
      <c r="FR1" s="510"/>
      <c r="FS1" s="510"/>
      <c r="FT1" s="510"/>
      <c r="FU1" s="510"/>
      <c r="FV1" s="510"/>
      <c r="FW1" s="510"/>
      <c r="FX1" s="510"/>
      <c r="FY1" s="510"/>
      <c r="FZ1" s="510"/>
      <c r="GA1" s="510"/>
      <c r="GB1" s="510"/>
      <c r="GC1" s="510"/>
      <c r="GD1" s="510"/>
      <c r="GE1" s="510"/>
      <c r="GF1" s="510"/>
      <c r="GG1" s="510"/>
      <c r="GH1" s="510"/>
      <c r="GI1" s="510"/>
      <c r="GJ1" s="510"/>
      <c r="GK1" s="510"/>
      <c r="GL1" s="510"/>
      <c r="GM1" s="510"/>
      <c r="GN1" s="510"/>
      <c r="GO1" s="510"/>
      <c r="GP1" s="510"/>
      <c r="GQ1" s="510"/>
      <c r="GR1" s="510"/>
      <c r="GS1" s="155"/>
      <c r="GT1" s="155"/>
      <c r="GU1" s="155"/>
      <c r="GV1" s="155"/>
      <c r="GW1" s="155"/>
      <c r="GX1" s="155"/>
      <c r="GY1" s="155"/>
      <c r="GZ1" s="155"/>
      <c r="HA1" s="155"/>
      <c r="HB1" s="155"/>
      <c r="HC1" s="155"/>
      <c r="HD1" s="155"/>
      <c r="HE1" s="155"/>
      <c r="HF1" s="155"/>
      <c r="HG1" s="155"/>
      <c r="HH1" s="155"/>
      <c r="HI1" s="155"/>
      <c r="HJ1" s="155"/>
      <c r="HK1" s="155"/>
      <c r="HL1" s="155"/>
      <c r="HM1" s="155"/>
      <c r="HN1" s="155"/>
      <c r="HO1" s="155"/>
      <c r="HP1" s="155"/>
      <c r="HQ1" s="155"/>
      <c r="HR1" s="155"/>
      <c r="HS1" s="155"/>
      <c r="HT1" s="155"/>
      <c r="HU1" s="155"/>
      <c r="HV1" s="155"/>
      <c r="HW1" s="155"/>
      <c r="HX1" s="155"/>
      <c r="HY1" s="155"/>
      <c r="HZ1" s="155"/>
      <c r="IA1" s="155"/>
      <c r="IB1" s="155"/>
      <c r="IC1" s="155"/>
      <c r="ID1" s="155"/>
      <c r="IE1" s="155"/>
      <c r="IF1" s="155"/>
      <c r="IG1" s="155"/>
      <c r="IH1" s="155"/>
      <c r="II1" s="155"/>
      <c r="IJ1" s="155"/>
      <c r="IK1" s="155"/>
      <c r="IL1" s="155"/>
      <c r="IM1" s="155"/>
      <c r="IN1" s="155"/>
      <c r="IO1" s="155"/>
      <c r="IP1" s="155"/>
      <c r="IQ1" s="155"/>
      <c r="IR1" s="155"/>
      <c r="IS1" s="155"/>
      <c r="IT1" s="155"/>
      <c r="IU1" s="155"/>
      <c r="IV1" s="155"/>
      <c r="IW1" s="155"/>
      <c r="IX1" s="155"/>
      <c r="IY1" s="155"/>
      <c r="IZ1" s="155"/>
      <c r="JA1" s="155"/>
      <c r="JF1" s="4"/>
    </row>
    <row r="2" spans="1:288" x14ac:dyDescent="0.25">
      <c r="L2" s="317" t="s">
        <v>0</v>
      </c>
      <c r="M2" s="317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155"/>
      <c r="CW2" s="155"/>
      <c r="CX2" s="155"/>
      <c r="CY2" s="155"/>
      <c r="CZ2" s="155"/>
      <c r="DA2" s="155"/>
      <c r="DB2" s="155"/>
      <c r="DC2" s="155"/>
      <c r="DD2" s="155"/>
      <c r="DE2" s="155"/>
      <c r="DF2" s="155"/>
      <c r="DG2" s="155"/>
      <c r="DH2" s="155"/>
      <c r="DI2" s="510"/>
      <c r="DJ2" s="510"/>
      <c r="DK2" s="510"/>
      <c r="DL2" s="155"/>
      <c r="DM2" s="155"/>
      <c r="DN2" s="155"/>
      <c r="DO2" s="155"/>
      <c r="DP2" s="155"/>
      <c r="DQ2" s="155"/>
      <c r="DR2" s="155"/>
      <c r="DS2" s="155"/>
      <c r="DT2" s="155"/>
      <c r="DU2" s="155"/>
      <c r="DV2" s="155"/>
      <c r="DW2" s="155"/>
      <c r="DX2" s="155"/>
      <c r="DY2" s="155"/>
      <c r="DZ2" s="510"/>
      <c r="EA2" s="510"/>
      <c r="EB2" s="510"/>
      <c r="EC2" s="510"/>
      <c r="ED2" s="510"/>
      <c r="EE2" s="510"/>
      <c r="EF2" s="155"/>
      <c r="EG2" s="155"/>
      <c r="EH2" s="155"/>
      <c r="EI2" s="155"/>
      <c r="EJ2" s="155"/>
      <c r="EK2" s="155"/>
      <c r="EL2" s="510"/>
      <c r="EM2" s="510"/>
      <c r="EN2" s="510"/>
      <c r="EO2" s="510"/>
      <c r="EP2" s="510"/>
      <c r="EQ2" s="510"/>
      <c r="ER2" s="510"/>
      <c r="ES2" s="510"/>
      <c r="ET2" s="510"/>
      <c r="EU2" s="510"/>
      <c r="EV2" s="510"/>
      <c r="EW2" s="510"/>
      <c r="EX2" s="510"/>
      <c r="EY2" s="510"/>
      <c r="EZ2" s="510"/>
      <c r="FA2" s="510"/>
      <c r="FB2" s="510"/>
      <c r="FC2" s="510"/>
      <c r="FD2" s="510"/>
      <c r="FE2" s="510"/>
      <c r="FF2" s="510"/>
      <c r="FG2" s="510"/>
      <c r="FH2" s="510"/>
      <c r="FI2" s="510"/>
      <c r="FJ2" s="510"/>
      <c r="FK2" s="510"/>
      <c r="FL2" s="510"/>
      <c r="FM2" s="510"/>
      <c r="FN2" s="510"/>
      <c r="FO2" s="510"/>
      <c r="FP2" s="510"/>
      <c r="FQ2" s="510"/>
      <c r="FR2" s="510"/>
      <c r="FS2" s="510"/>
      <c r="FT2" s="510"/>
      <c r="FU2" s="510"/>
      <c r="FV2" s="510"/>
      <c r="FW2" s="510"/>
      <c r="FX2" s="510"/>
      <c r="FY2" s="510"/>
      <c r="FZ2" s="510"/>
      <c r="GA2" s="510"/>
      <c r="GB2" s="510"/>
      <c r="GC2" s="510"/>
      <c r="GD2" s="510"/>
      <c r="GE2" s="510"/>
      <c r="GF2" s="510"/>
      <c r="GG2" s="510"/>
      <c r="GH2" s="510"/>
      <c r="GI2" s="510"/>
      <c r="GJ2" s="510"/>
      <c r="GK2" s="510"/>
      <c r="GL2" s="510"/>
      <c r="GM2" s="510"/>
      <c r="GN2" s="510"/>
      <c r="GO2" s="510"/>
      <c r="GP2" s="510"/>
      <c r="GQ2" s="510"/>
      <c r="GR2" s="510"/>
      <c r="GS2" s="155"/>
      <c r="GT2" s="155"/>
      <c r="GU2" s="155"/>
      <c r="GV2" s="155"/>
      <c r="GW2" s="155"/>
      <c r="GX2" s="155"/>
      <c r="GY2" s="155"/>
      <c r="GZ2" s="155"/>
      <c r="HA2" s="155"/>
      <c r="HB2" s="155"/>
      <c r="HC2" s="155"/>
      <c r="HD2" s="155"/>
      <c r="HE2" s="155"/>
      <c r="HF2" s="155"/>
      <c r="HG2" s="155"/>
      <c r="HH2" s="155"/>
      <c r="HI2" s="155"/>
      <c r="HJ2" s="155"/>
      <c r="HK2" s="155"/>
      <c r="HL2" s="155"/>
      <c r="HM2" s="155"/>
      <c r="HN2" s="155"/>
      <c r="HO2" s="155"/>
      <c r="HP2" s="155"/>
      <c r="HQ2" s="155"/>
      <c r="HR2" s="155"/>
      <c r="HS2" s="155"/>
      <c r="HT2" s="155"/>
      <c r="HU2" s="155"/>
      <c r="HV2" s="155"/>
      <c r="HW2" s="155"/>
      <c r="HX2" s="155"/>
      <c r="HY2" s="155"/>
      <c r="HZ2" s="155"/>
      <c r="IA2" s="155"/>
      <c r="IB2" s="155"/>
      <c r="IC2" s="155"/>
      <c r="ID2" s="155"/>
      <c r="IE2" s="155"/>
      <c r="IF2" s="155"/>
      <c r="IG2" s="155"/>
      <c r="IH2" s="155"/>
      <c r="II2" s="155"/>
      <c r="IJ2" s="155"/>
      <c r="IK2" s="155"/>
      <c r="IL2" s="155"/>
      <c r="IM2" s="155"/>
      <c r="IN2" s="155"/>
      <c r="IO2" s="155"/>
      <c r="IP2" s="155"/>
      <c r="IQ2" s="155"/>
      <c r="IR2" s="155"/>
      <c r="IS2" s="155"/>
      <c r="IT2" s="155"/>
      <c r="IU2" s="155"/>
      <c r="IV2" s="155"/>
      <c r="IW2" s="155"/>
      <c r="IX2" s="155"/>
      <c r="IY2" s="155"/>
      <c r="IZ2" s="155"/>
      <c r="JA2" s="155"/>
      <c r="JF2" s="4"/>
    </row>
    <row r="3" spans="1:288" x14ac:dyDescent="0.25">
      <c r="L3" s="723" t="s">
        <v>655</v>
      </c>
      <c r="M3" s="317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5"/>
      <c r="DH3" s="155"/>
      <c r="DI3" s="510"/>
      <c r="DJ3" s="510"/>
      <c r="DK3" s="510"/>
      <c r="DL3" s="155"/>
      <c r="DM3" s="155"/>
      <c r="DN3" s="155"/>
      <c r="DO3" s="155"/>
      <c r="DP3" s="155"/>
      <c r="DQ3" s="155"/>
      <c r="DR3" s="155"/>
      <c r="DS3" s="155"/>
      <c r="DT3" s="155"/>
      <c r="DU3" s="155"/>
      <c r="DV3" s="155"/>
      <c r="DW3" s="155"/>
      <c r="DX3" s="155"/>
      <c r="DY3" s="155"/>
      <c r="DZ3" s="510"/>
      <c r="EA3" s="510"/>
      <c r="EB3" s="510"/>
      <c r="EC3" s="510"/>
      <c r="ED3" s="510"/>
      <c r="EE3" s="510"/>
      <c r="EF3" s="155"/>
      <c r="EG3" s="155"/>
      <c r="EH3" s="155"/>
      <c r="EI3" s="155"/>
      <c r="EJ3" s="155"/>
      <c r="EK3" s="155"/>
      <c r="EL3" s="510"/>
      <c r="EM3" s="510"/>
      <c r="EN3" s="510"/>
      <c r="EO3" s="510"/>
      <c r="EP3" s="510"/>
      <c r="EQ3" s="510"/>
      <c r="ER3" s="510"/>
      <c r="ES3" s="510"/>
      <c r="ET3" s="510"/>
      <c r="EU3" s="510"/>
      <c r="EV3" s="510"/>
      <c r="EW3" s="510"/>
      <c r="EX3" s="510"/>
      <c r="EY3" s="510"/>
      <c r="EZ3" s="510"/>
      <c r="FA3" s="510"/>
      <c r="FB3" s="510"/>
      <c r="FC3" s="510"/>
      <c r="FD3" s="510"/>
      <c r="FE3" s="510"/>
      <c r="FF3" s="510"/>
      <c r="FG3" s="510"/>
      <c r="FH3" s="510"/>
      <c r="FI3" s="510"/>
      <c r="FJ3" s="510"/>
      <c r="FK3" s="510"/>
      <c r="FL3" s="510"/>
      <c r="FM3" s="510"/>
      <c r="FN3" s="510"/>
      <c r="FO3" s="510"/>
      <c r="FP3" s="510"/>
      <c r="FQ3" s="510"/>
      <c r="FR3" s="510"/>
      <c r="FS3" s="510"/>
      <c r="FT3" s="510"/>
      <c r="FU3" s="510"/>
      <c r="FV3" s="510"/>
      <c r="FW3" s="510"/>
      <c r="FX3" s="510"/>
      <c r="FY3" s="510"/>
      <c r="FZ3" s="510"/>
      <c r="GA3" s="510"/>
      <c r="GB3" s="510"/>
      <c r="GC3" s="510"/>
      <c r="GD3" s="510"/>
      <c r="GE3" s="510"/>
      <c r="GF3" s="510"/>
      <c r="GG3" s="510"/>
      <c r="GH3" s="510"/>
      <c r="GI3" s="510"/>
      <c r="GJ3" s="510"/>
      <c r="GK3" s="510"/>
      <c r="GL3" s="510"/>
      <c r="GM3" s="510"/>
      <c r="GN3" s="510"/>
      <c r="GO3" s="510"/>
      <c r="GP3" s="510"/>
      <c r="GQ3" s="510"/>
      <c r="GR3" s="510"/>
      <c r="GS3" s="155"/>
      <c r="GT3" s="155"/>
      <c r="GU3" s="155"/>
      <c r="GV3" s="155"/>
      <c r="GW3" s="155"/>
      <c r="GX3" s="155"/>
      <c r="GY3" s="155"/>
      <c r="GZ3" s="155"/>
      <c r="HA3" s="155"/>
      <c r="HB3" s="155"/>
      <c r="HC3" s="155"/>
      <c r="HD3" s="155"/>
      <c r="HE3" s="155"/>
      <c r="HF3" s="155"/>
      <c r="HG3" s="155"/>
      <c r="HH3" s="155"/>
      <c r="HI3" s="155"/>
      <c r="HJ3" s="155"/>
      <c r="HK3" s="155"/>
      <c r="HL3" s="155"/>
      <c r="HM3" s="155"/>
      <c r="HN3" s="155"/>
      <c r="HO3" s="155"/>
      <c r="HP3" s="155"/>
      <c r="HQ3" s="155"/>
      <c r="HR3" s="155"/>
      <c r="HS3" s="155"/>
      <c r="HT3" s="155"/>
      <c r="HU3" s="155"/>
      <c r="HV3" s="155"/>
      <c r="HW3" s="155"/>
      <c r="HX3" s="155"/>
      <c r="HY3" s="155"/>
      <c r="HZ3" s="155"/>
      <c r="IA3" s="155"/>
      <c r="IB3" s="155"/>
      <c r="IC3" s="155"/>
      <c r="ID3" s="155"/>
      <c r="IE3" s="155"/>
      <c r="IF3" s="155"/>
      <c r="IG3" s="155"/>
      <c r="IH3" s="155"/>
      <c r="II3" s="155"/>
      <c r="IJ3" s="155"/>
      <c r="IK3" s="155"/>
      <c r="IL3" s="155"/>
      <c r="IM3" s="155"/>
      <c r="IN3" s="155"/>
      <c r="IO3" s="155"/>
      <c r="IP3" s="155"/>
      <c r="IQ3" s="155"/>
      <c r="IR3" s="155"/>
      <c r="IS3" s="155"/>
      <c r="IT3" s="155"/>
      <c r="IU3" s="155"/>
      <c r="IV3" s="155"/>
      <c r="IW3" s="155"/>
      <c r="IX3" s="155"/>
      <c r="IY3" s="155"/>
      <c r="IZ3" s="155"/>
      <c r="JA3" s="155"/>
      <c r="JF3" s="4"/>
    </row>
    <row r="4" spans="1:288" ht="18.600000000000001" customHeight="1" x14ac:dyDescent="0.25">
      <c r="A4" s="954" t="s">
        <v>563</v>
      </c>
      <c r="B4" s="954"/>
      <c r="C4" s="954"/>
      <c r="D4" s="954"/>
      <c r="E4" s="954"/>
      <c r="F4" s="954"/>
      <c r="G4" s="954"/>
      <c r="H4" s="954"/>
      <c r="I4" s="954"/>
      <c r="J4" s="954"/>
      <c r="K4" s="954"/>
      <c r="L4" s="954"/>
      <c r="M4" s="954"/>
      <c r="N4" s="954"/>
      <c r="O4" s="712"/>
      <c r="P4" s="787"/>
      <c r="Q4" s="787"/>
      <c r="R4" s="787"/>
      <c r="S4" s="787"/>
      <c r="T4" s="787"/>
      <c r="U4" s="787"/>
      <c r="V4" s="787"/>
      <c r="W4" s="787"/>
      <c r="X4" s="787"/>
      <c r="Y4" s="787"/>
      <c r="Z4" s="787"/>
      <c r="AA4" s="787"/>
      <c r="AB4" s="787"/>
      <c r="AC4" s="787"/>
      <c r="AD4" s="787"/>
      <c r="AE4" s="787"/>
      <c r="AF4" s="787"/>
      <c r="AG4" s="787"/>
      <c r="AH4" s="787"/>
      <c r="AI4" s="787"/>
      <c r="AJ4" s="787"/>
      <c r="AK4" s="787"/>
      <c r="AL4" s="787"/>
      <c r="AM4" s="787"/>
      <c r="AN4" s="787"/>
      <c r="AO4" s="787"/>
      <c r="AP4" s="787"/>
      <c r="AQ4" s="787"/>
      <c r="AR4" s="712"/>
      <c r="AS4" s="712"/>
      <c r="AT4" s="712"/>
      <c r="AU4" s="712"/>
      <c r="AV4" s="712"/>
      <c r="AW4" s="712"/>
      <c r="AX4" s="712"/>
      <c r="AY4" s="712"/>
      <c r="AZ4" s="712"/>
      <c r="BA4" s="712"/>
      <c r="BB4" s="712"/>
      <c r="BC4" s="712"/>
      <c r="BD4" s="712"/>
      <c r="BE4" s="712"/>
      <c r="BF4" s="712"/>
      <c r="BG4" s="712"/>
      <c r="BH4" s="712"/>
      <c r="BI4" s="712"/>
      <c r="BJ4" s="712"/>
      <c r="BK4" s="712"/>
      <c r="BL4" s="712"/>
      <c r="BM4" s="712"/>
      <c r="BN4" s="712"/>
      <c r="BO4" s="712"/>
      <c r="BP4" s="712"/>
      <c r="BQ4" s="712"/>
      <c r="BR4" s="712"/>
      <c r="BS4" s="712"/>
      <c r="BT4" s="712"/>
      <c r="BU4" s="712"/>
      <c r="BV4" s="712"/>
      <c r="BW4" s="712"/>
      <c r="BX4" s="712"/>
      <c r="BY4" s="712"/>
      <c r="BZ4" s="712"/>
      <c r="CA4" s="712"/>
      <c r="CB4" s="712"/>
      <c r="CC4" s="712"/>
      <c r="CD4" s="712"/>
      <c r="CE4" s="712"/>
      <c r="CF4" s="712"/>
      <c r="CG4" s="712"/>
      <c r="CH4" s="712"/>
      <c r="CI4" s="712"/>
      <c r="CJ4" s="712"/>
      <c r="CK4" s="712"/>
      <c r="CL4" s="712"/>
      <c r="CM4" s="712"/>
      <c r="CN4" s="712"/>
      <c r="CO4" s="712"/>
      <c r="CP4" s="728"/>
      <c r="CQ4" s="728"/>
      <c r="CR4" s="728"/>
      <c r="CS4" s="728"/>
      <c r="CT4" s="752"/>
      <c r="CU4" s="728"/>
      <c r="CV4" s="728"/>
      <c r="CW4" s="728"/>
      <c r="CX4" s="728"/>
      <c r="CY4" s="712"/>
      <c r="CZ4" s="712"/>
      <c r="DA4" s="712"/>
      <c r="DB4" s="712"/>
      <c r="DC4" s="712"/>
      <c r="DD4" s="712"/>
      <c r="DE4" s="712"/>
      <c r="DF4" s="712"/>
      <c r="DG4" s="712"/>
      <c r="DH4" s="712"/>
      <c r="DI4" s="712"/>
      <c r="DJ4" s="712"/>
      <c r="DK4" s="712"/>
      <c r="DL4" s="712"/>
      <c r="DM4" s="712"/>
      <c r="DN4" s="712"/>
      <c r="DO4" s="712"/>
      <c r="DP4" s="712"/>
      <c r="DQ4" s="712"/>
      <c r="DR4" s="712"/>
      <c r="DS4" s="712"/>
      <c r="DT4" s="712"/>
      <c r="DU4" s="712"/>
      <c r="DV4" s="712"/>
      <c r="DW4" s="712"/>
      <c r="DX4" s="712"/>
      <c r="DY4" s="712"/>
      <c r="DZ4" s="712"/>
      <c r="EA4" s="712"/>
      <c r="EB4" s="712"/>
      <c r="EC4" s="712"/>
      <c r="ED4" s="712"/>
      <c r="EE4" s="712"/>
      <c r="EF4" s="712"/>
      <c r="EG4" s="712"/>
      <c r="EH4" s="712"/>
      <c r="EI4" s="712"/>
      <c r="EJ4" s="712"/>
      <c r="EK4" s="712"/>
      <c r="EL4" s="712"/>
      <c r="EM4" s="712"/>
      <c r="EN4" s="712"/>
      <c r="EO4" s="712"/>
      <c r="EP4" s="712"/>
      <c r="EQ4" s="712"/>
      <c r="ER4" s="712"/>
      <c r="ES4" s="712"/>
      <c r="ET4" s="712"/>
      <c r="EU4" s="712"/>
      <c r="EV4" s="712"/>
      <c r="EW4" s="712"/>
      <c r="EX4" s="712"/>
      <c r="EY4" s="712"/>
      <c r="EZ4" s="712"/>
      <c r="FA4" s="712"/>
      <c r="FB4" s="712"/>
      <c r="FC4" s="712"/>
      <c r="FD4" s="712"/>
      <c r="FE4" s="712"/>
      <c r="FF4" s="712"/>
      <c r="FG4" s="712"/>
      <c r="FH4" s="712"/>
      <c r="FI4" s="712"/>
      <c r="FJ4" s="712"/>
      <c r="FK4" s="712"/>
      <c r="FL4" s="712"/>
      <c r="FM4" s="712"/>
      <c r="FN4" s="712"/>
      <c r="FO4" s="712"/>
      <c r="FP4" s="712"/>
      <c r="FQ4" s="712"/>
      <c r="FR4" s="712"/>
      <c r="FS4" s="712"/>
      <c r="FT4" s="712"/>
      <c r="FU4" s="712"/>
      <c r="FV4" s="712"/>
      <c r="FW4" s="712"/>
      <c r="FX4" s="712"/>
      <c r="FY4" s="712"/>
      <c r="FZ4" s="712"/>
      <c r="GA4" s="712"/>
      <c r="GB4" s="712" t="s">
        <v>426</v>
      </c>
      <c r="GC4" s="712"/>
      <c r="GD4" s="712"/>
      <c r="GE4" s="712"/>
      <c r="GF4" s="712"/>
      <c r="GG4" s="712"/>
      <c r="GH4" s="712"/>
      <c r="GI4" s="712"/>
      <c r="GJ4" s="712"/>
      <c r="GK4" s="712"/>
      <c r="GL4" s="712"/>
      <c r="GM4" s="712"/>
      <c r="GN4" s="712"/>
      <c r="GO4" s="712"/>
      <c r="GP4" s="712"/>
      <c r="GQ4" s="712"/>
      <c r="GR4" s="712"/>
      <c r="GS4" s="712"/>
      <c r="GT4" s="712"/>
      <c r="GU4" s="712"/>
      <c r="GV4" s="712"/>
      <c r="GW4" s="712"/>
      <c r="GX4" s="712"/>
      <c r="GY4" s="712"/>
      <c r="GZ4" s="712"/>
      <c r="HA4" s="712"/>
      <c r="HB4" s="712"/>
      <c r="HC4" s="712"/>
      <c r="HD4" s="712"/>
      <c r="HE4" s="712"/>
      <c r="HF4" s="712"/>
      <c r="HG4" s="712"/>
      <c r="HH4" s="712"/>
      <c r="HI4" s="712"/>
      <c r="HJ4" s="712"/>
      <c r="HK4" s="712"/>
      <c r="HL4" s="712"/>
      <c r="HM4" s="712"/>
      <c r="HN4" s="712"/>
      <c r="HO4" s="712"/>
      <c r="HP4" s="712"/>
      <c r="HQ4" s="712"/>
      <c r="HR4" s="712"/>
      <c r="HS4" s="712"/>
      <c r="HT4" s="712"/>
      <c r="HU4" s="712"/>
      <c r="HV4" s="712"/>
      <c r="HW4" s="712"/>
      <c r="HX4" s="712"/>
      <c r="HY4" s="712"/>
      <c r="HZ4" s="712"/>
      <c r="IA4" s="712"/>
      <c r="IB4" s="712"/>
      <c r="IC4" s="712"/>
      <c r="ID4" s="712"/>
      <c r="IE4" s="712"/>
      <c r="IF4" s="712"/>
      <c r="IG4" s="712"/>
      <c r="IH4" s="712"/>
      <c r="II4" s="712"/>
      <c r="IJ4" s="712"/>
      <c r="IK4" s="712"/>
      <c r="IL4" s="712"/>
      <c r="IM4" s="712"/>
      <c r="IN4" s="712"/>
      <c r="IO4" s="712"/>
      <c r="IP4" s="712"/>
      <c r="IQ4" s="712"/>
      <c r="IR4" s="712"/>
      <c r="IS4" s="712"/>
      <c r="IT4" s="712"/>
      <c r="IU4" s="712"/>
      <c r="IV4" s="712"/>
      <c r="IW4" s="712"/>
      <c r="IX4" s="712"/>
      <c r="IY4" s="712"/>
      <c r="IZ4" s="712"/>
      <c r="JA4" s="712"/>
      <c r="JB4" s="159"/>
      <c r="JC4" s="159"/>
      <c r="JD4" s="159"/>
      <c r="JE4" s="159"/>
      <c r="JF4" s="159"/>
      <c r="JG4" s="159"/>
      <c r="JH4" s="159"/>
    </row>
    <row r="5" spans="1:288" x14ac:dyDescent="0.25">
      <c r="A5" s="712"/>
      <c r="B5" s="712"/>
      <c r="C5" s="712"/>
      <c r="D5" s="712"/>
      <c r="E5" s="712"/>
      <c r="F5" s="712"/>
      <c r="G5" s="712"/>
      <c r="H5" s="712"/>
      <c r="I5" s="712"/>
      <c r="J5" s="712"/>
      <c r="K5" s="712"/>
      <c r="L5" s="712"/>
      <c r="M5" s="771"/>
      <c r="O5" s="712"/>
      <c r="P5" s="787"/>
      <c r="Q5" s="787"/>
      <c r="R5" s="787"/>
      <c r="S5" s="787"/>
      <c r="T5" s="787"/>
      <c r="U5" s="787"/>
      <c r="V5" s="787"/>
      <c r="W5" s="787"/>
      <c r="X5" s="787"/>
      <c r="Y5" s="787"/>
      <c r="Z5" s="787"/>
      <c r="AA5" s="787"/>
      <c r="AB5" s="787"/>
      <c r="AC5" s="787"/>
      <c r="AD5" s="787"/>
      <c r="AE5" s="787"/>
      <c r="AF5" s="787"/>
      <c r="AG5" s="787"/>
      <c r="AH5" s="787"/>
      <c r="AI5" s="787"/>
      <c r="AJ5" s="787"/>
      <c r="AK5" s="787"/>
      <c r="AL5" s="787"/>
      <c r="AM5" s="787"/>
      <c r="AN5" s="787"/>
      <c r="AO5" s="787"/>
      <c r="AP5" s="787"/>
      <c r="AQ5" s="787"/>
      <c r="AS5" s="712"/>
      <c r="AT5" s="712"/>
      <c r="AU5" s="712"/>
      <c r="AV5" s="712"/>
      <c r="AW5" s="712"/>
      <c r="AX5" s="712"/>
      <c r="AY5" s="712"/>
      <c r="AZ5" s="712"/>
      <c r="BA5" s="712"/>
      <c r="BB5" s="712"/>
      <c r="BC5" s="712"/>
      <c r="BD5" s="712"/>
      <c r="BE5" s="712"/>
      <c r="BF5" s="712"/>
      <c r="BG5" s="712"/>
      <c r="BH5" s="712"/>
      <c r="BI5" s="712"/>
      <c r="BJ5" s="712"/>
      <c r="BK5" s="712"/>
      <c r="BL5" s="712"/>
      <c r="BM5" s="712"/>
      <c r="BN5" s="712"/>
      <c r="BO5" s="712"/>
      <c r="BP5" s="712"/>
      <c r="BQ5" s="712"/>
      <c r="BR5" s="712"/>
      <c r="BS5" s="712"/>
      <c r="BT5" s="712"/>
      <c r="BU5" s="712"/>
      <c r="BV5" s="712"/>
      <c r="BW5" s="712"/>
      <c r="BX5" s="712"/>
      <c r="BY5" s="712"/>
      <c r="BZ5" s="712"/>
      <c r="CA5" s="712"/>
      <c r="CB5" s="712"/>
      <c r="CC5" s="712"/>
      <c r="CD5" s="712"/>
      <c r="CE5" s="712"/>
      <c r="CF5" s="712"/>
      <c r="CG5" s="712"/>
      <c r="CH5" s="712"/>
      <c r="CI5" s="712"/>
      <c r="CJ5" s="712"/>
      <c r="CK5" s="712"/>
      <c r="CL5" s="712"/>
      <c r="CM5" s="712"/>
      <c r="CN5" s="712"/>
      <c r="CO5" s="712"/>
      <c r="CP5" s="728"/>
      <c r="CQ5" s="728"/>
      <c r="CR5" s="728"/>
      <c r="CS5" s="728"/>
      <c r="CT5" s="752"/>
      <c r="CU5" s="728"/>
      <c r="CV5" s="728"/>
      <c r="CW5" s="728"/>
      <c r="CX5" s="728"/>
      <c r="CY5" s="712"/>
      <c r="CZ5" s="712"/>
      <c r="DA5" s="712"/>
      <c r="DB5" s="712"/>
      <c r="DC5" s="712"/>
      <c r="DD5" s="712"/>
      <c r="DE5" s="712"/>
      <c r="DF5" s="712"/>
      <c r="DG5" s="712"/>
      <c r="DH5" s="712"/>
      <c r="DI5" s="712"/>
      <c r="DJ5" s="712"/>
      <c r="DK5" s="712"/>
      <c r="DL5" s="712"/>
      <c r="DM5" s="712"/>
      <c r="DN5" s="712"/>
      <c r="DO5" s="712"/>
      <c r="DP5" s="712"/>
      <c r="DQ5" s="712"/>
      <c r="DR5" s="712"/>
      <c r="DS5" s="712"/>
      <c r="DT5" s="712"/>
      <c r="DU5" s="712"/>
      <c r="DV5" s="712"/>
      <c r="DW5" s="712"/>
      <c r="DX5" s="712"/>
      <c r="DY5" s="712"/>
      <c r="DZ5" s="712"/>
      <c r="EA5" s="712"/>
      <c r="EB5" s="712"/>
      <c r="EC5" s="712"/>
      <c r="ED5" s="712"/>
      <c r="EE5" s="712"/>
      <c r="EF5" s="712"/>
      <c r="EG5" s="712"/>
      <c r="EH5" s="712"/>
      <c r="EI5" s="712"/>
      <c r="EJ5" s="712"/>
      <c r="EK5" s="712"/>
      <c r="EL5" s="712"/>
      <c r="EM5" s="712"/>
      <c r="EN5" s="712"/>
      <c r="EO5" s="712"/>
      <c r="EP5" s="712"/>
      <c r="EQ5" s="712"/>
      <c r="ER5" s="712"/>
      <c r="ES5" s="712"/>
      <c r="ET5" s="712"/>
      <c r="EU5" s="712"/>
      <c r="EV5" s="712"/>
      <c r="EW5" s="712"/>
      <c r="EX5" s="712"/>
      <c r="EY5" s="712"/>
      <c r="EZ5" s="712"/>
      <c r="FA5" s="712"/>
      <c r="FB5" s="712"/>
      <c r="FC5" s="712"/>
      <c r="FD5" s="712"/>
      <c r="FE5" s="712"/>
      <c r="FF5" s="712"/>
      <c r="FG5" s="712"/>
      <c r="FH5" s="712"/>
      <c r="FI5" s="712"/>
      <c r="FJ5" s="712"/>
      <c r="FK5" s="712"/>
      <c r="FL5" s="712"/>
      <c r="FM5" s="712"/>
      <c r="FN5" s="712"/>
      <c r="FO5" s="712"/>
      <c r="FP5" s="712"/>
      <c r="FQ5" s="712"/>
      <c r="FR5" s="712"/>
      <c r="FS5" s="712"/>
      <c r="FT5" s="712"/>
      <c r="FU5" s="712"/>
      <c r="FV5" s="712"/>
      <c r="FW5" s="712"/>
      <c r="FX5" s="712"/>
      <c r="FY5" s="712"/>
      <c r="FZ5" s="712"/>
      <c r="GA5" s="712"/>
      <c r="GB5" s="712"/>
      <c r="GC5" s="712"/>
      <c r="GD5" s="712"/>
      <c r="GE5" s="712"/>
      <c r="GF5" s="712"/>
      <c r="GG5" s="712"/>
      <c r="GH5" s="712"/>
      <c r="GI5" s="712"/>
      <c r="GJ5" s="712"/>
      <c r="GK5" s="712"/>
      <c r="GL5" s="712"/>
      <c r="GM5" s="712"/>
      <c r="GN5" s="712"/>
      <c r="GO5" s="712"/>
      <c r="GP5" s="712"/>
      <c r="GQ5" s="712"/>
      <c r="GR5" s="712"/>
      <c r="GS5" s="712"/>
      <c r="GT5" s="712"/>
      <c r="GU5" s="712"/>
      <c r="GV5" s="712"/>
      <c r="GW5" s="712"/>
      <c r="GX5" s="712"/>
      <c r="GY5" s="712"/>
      <c r="GZ5" s="712"/>
      <c r="HA5" s="712"/>
      <c r="HB5" s="712"/>
      <c r="HC5" s="712"/>
      <c r="HD5" s="712"/>
      <c r="HE5" s="712"/>
      <c r="HF5" s="712"/>
      <c r="HG5" s="712"/>
      <c r="HH5" s="712"/>
      <c r="HI5" s="712"/>
      <c r="HJ5" s="712"/>
      <c r="HK5" s="712"/>
      <c r="HL5" s="712"/>
      <c r="HM5" s="712"/>
      <c r="HN5" s="712"/>
      <c r="HO5" s="712"/>
      <c r="HP5" s="712"/>
      <c r="HQ5" s="712"/>
      <c r="HR5" s="712"/>
      <c r="HS5" s="712"/>
      <c r="HT5" s="712"/>
      <c r="HU5" s="712"/>
      <c r="HV5" s="712"/>
      <c r="HW5" s="712"/>
      <c r="HX5" s="712"/>
      <c r="HY5" s="712"/>
      <c r="HZ5" s="712"/>
      <c r="IA5" s="712"/>
      <c r="IB5" s="712"/>
      <c r="IC5" s="712"/>
      <c r="ID5" s="712"/>
      <c r="IE5" s="712"/>
      <c r="IF5" s="712"/>
      <c r="IG5" s="712"/>
      <c r="IH5" s="712"/>
      <c r="II5" s="712"/>
      <c r="IJ5" s="712"/>
      <c r="IK5" s="712"/>
      <c r="IL5" s="712"/>
      <c r="IM5" s="712"/>
      <c r="IN5" s="712"/>
      <c r="IO5" s="712"/>
      <c r="IP5" s="712"/>
      <c r="IQ5" s="712"/>
      <c r="IR5" s="712"/>
      <c r="IS5" s="712"/>
      <c r="IT5" s="712"/>
      <c r="IU5" s="712"/>
      <c r="IV5" s="712"/>
      <c r="IW5" s="712"/>
      <c r="IX5" s="712"/>
      <c r="IY5" s="712"/>
      <c r="IZ5" s="712"/>
      <c r="JA5" s="712"/>
      <c r="JB5" s="159"/>
      <c r="JC5" s="159"/>
      <c r="JD5" s="159"/>
      <c r="JE5" s="159"/>
      <c r="JF5" s="159"/>
      <c r="JG5" s="159"/>
      <c r="JH5" s="159"/>
    </row>
    <row r="6" spans="1:288" ht="19.95" customHeight="1" x14ac:dyDescent="0.25">
      <c r="A6" s="160" t="s">
        <v>172</v>
      </c>
    </row>
    <row r="7" spans="1:288" ht="75.599999999999994" customHeight="1" x14ac:dyDescent="0.25">
      <c r="A7" s="955" t="s">
        <v>2</v>
      </c>
      <c r="B7" s="955" t="s">
        <v>116</v>
      </c>
      <c r="C7" s="955" t="s">
        <v>5</v>
      </c>
      <c r="D7" s="957" t="s">
        <v>541</v>
      </c>
      <c r="E7" s="958"/>
      <c r="F7" s="958"/>
      <c r="G7" s="958"/>
      <c r="H7" s="959"/>
      <c r="I7" s="960" t="s">
        <v>456</v>
      </c>
      <c r="J7" s="252" t="s">
        <v>8</v>
      </c>
      <c r="K7" s="960" t="s">
        <v>457</v>
      </c>
      <c r="L7" s="722" t="s">
        <v>8</v>
      </c>
      <c r="M7" s="960" t="s">
        <v>571</v>
      </c>
      <c r="N7" s="252" t="s">
        <v>8</v>
      </c>
      <c r="O7" s="161"/>
      <c r="P7" s="161"/>
      <c r="Q7" s="780" t="s">
        <v>582</v>
      </c>
      <c r="R7" s="961" t="s">
        <v>478</v>
      </c>
      <c r="S7" s="950" t="s">
        <v>623</v>
      </c>
      <c r="T7" s="940" t="s">
        <v>624</v>
      </c>
      <c r="U7" s="161"/>
      <c r="V7" s="950" t="s">
        <v>625</v>
      </c>
      <c r="W7" s="940" t="s">
        <v>626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780" t="s">
        <v>582</v>
      </c>
      <c r="AS7" s="949" t="s">
        <v>475</v>
      </c>
      <c r="AT7" s="950" t="s">
        <v>476</v>
      </c>
      <c r="AU7" s="940" t="s">
        <v>477</v>
      </c>
      <c r="AV7" s="161"/>
      <c r="AW7" s="949" t="s">
        <v>478</v>
      </c>
      <c r="AX7" s="950" t="s">
        <v>479</v>
      </c>
      <c r="AY7" s="940" t="s">
        <v>480</v>
      </c>
      <c r="AZ7" s="161"/>
      <c r="BA7" s="949" t="s">
        <v>481</v>
      </c>
      <c r="BB7" s="950" t="s">
        <v>482</v>
      </c>
      <c r="BC7" s="940" t="s">
        <v>483</v>
      </c>
      <c r="BD7" s="161"/>
      <c r="BE7" s="161"/>
      <c r="BF7" s="711" t="s">
        <v>486</v>
      </c>
      <c r="BG7" s="948" t="s">
        <v>488</v>
      </c>
      <c r="BH7" s="940" t="s">
        <v>489</v>
      </c>
      <c r="BI7" s="161"/>
      <c r="BJ7" s="948" t="s">
        <v>490</v>
      </c>
      <c r="BK7" s="940" t="s">
        <v>491</v>
      </c>
      <c r="BL7" s="161"/>
      <c r="BM7" s="948" t="s">
        <v>492</v>
      </c>
      <c r="BN7" s="940" t="s">
        <v>493</v>
      </c>
      <c r="BO7" s="162"/>
      <c r="BP7" s="161"/>
      <c r="BQ7" s="711" t="s">
        <v>498</v>
      </c>
      <c r="BR7" s="948" t="s">
        <v>494</v>
      </c>
      <c r="BS7" s="940" t="s">
        <v>495</v>
      </c>
      <c r="BT7" s="161"/>
      <c r="BU7" s="711" t="s">
        <v>500</v>
      </c>
      <c r="BV7" s="948" t="s">
        <v>503</v>
      </c>
      <c r="BW7" s="940" t="s">
        <v>504</v>
      </c>
      <c r="BX7" s="161"/>
      <c r="BY7" s="711" t="s">
        <v>505</v>
      </c>
      <c r="BZ7" s="948" t="s">
        <v>507</v>
      </c>
      <c r="CA7" s="940" t="s">
        <v>508</v>
      </c>
      <c r="CB7" s="161"/>
      <c r="CC7" s="161"/>
      <c r="CD7" s="945" t="s">
        <v>532</v>
      </c>
      <c r="CE7" s="946" t="s">
        <v>533</v>
      </c>
      <c r="CF7" s="940" t="s">
        <v>534</v>
      </c>
      <c r="CG7" s="161"/>
      <c r="CH7" s="947" t="s">
        <v>539</v>
      </c>
      <c r="CI7" s="953" t="s">
        <v>535</v>
      </c>
      <c r="CJ7" s="940" t="s">
        <v>537</v>
      </c>
      <c r="CK7" s="161"/>
      <c r="CL7" s="947" t="s">
        <v>540</v>
      </c>
      <c r="CM7" s="953" t="s">
        <v>536</v>
      </c>
      <c r="CN7" s="940" t="s">
        <v>538</v>
      </c>
      <c r="CO7" s="161"/>
      <c r="CP7" s="729" t="s">
        <v>544</v>
      </c>
      <c r="CQ7" s="948" t="s">
        <v>546</v>
      </c>
      <c r="CR7" s="940" t="s">
        <v>547</v>
      </c>
      <c r="CS7" s="161"/>
      <c r="CT7" s="161"/>
      <c r="CU7" s="751" t="s">
        <v>551</v>
      </c>
      <c r="CV7" s="948" t="s">
        <v>553</v>
      </c>
      <c r="CW7" s="940" t="s">
        <v>554</v>
      </c>
      <c r="CX7" s="161"/>
      <c r="CY7" s="161"/>
      <c r="CZ7" s="949" t="s">
        <v>353</v>
      </c>
      <c r="DA7" s="950" t="s">
        <v>355</v>
      </c>
      <c r="DB7" s="940" t="s">
        <v>354</v>
      </c>
      <c r="DC7" s="161"/>
      <c r="DD7" s="161"/>
      <c r="DE7" s="162"/>
      <c r="DF7" s="711" t="s">
        <v>361</v>
      </c>
      <c r="DG7" s="948" t="s">
        <v>355</v>
      </c>
      <c r="DH7" s="940" t="s">
        <v>354</v>
      </c>
      <c r="DI7" s="162"/>
      <c r="DJ7" s="162"/>
      <c r="DK7" s="162"/>
      <c r="DL7" s="161"/>
      <c r="DM7" s="161"/>
      <c r="DN7" s="162"/>
      <c r="DO7" s="711" t="s">
        <v>356</v>
      </c>
      <c r="DP7" s="948" t="s">
        <v>358</v>
      </c>
      <c r="DQ7" s="940" t="s">
        <v>359</v>
      </c>
      <c r="DR7" s="161"/>
      <c r="DS7" s="161"/>
      <c r="DT7" s="161"/>
      <c r="DU7" s="161"/>
      <c r="DV7" s="161"/>
      <c r="DW7" s="161"/>
      <c r="DX7" s="161"/>
      <c r="DY7" s="161"/>
      <c r="DZ7" s="161"/>
      <c r="EA7" s="162"/>
      <c r="EB7" s="711" t="s">
        <v>383</v>
      </c>
      <c r="EC7" s="948" t="s">
        <v>386</v>
      </c>
      <c r="ED7" s="940" t="s">
        <v>387</v>
      </c>
      <c r="EE7" s="161"/>
      <c r="EF7" s="161"/>
      <c r="EG7" s="161"/>
      <c r="EH7" s="161"/>
      <c r="EI7" s="161"/>
      <c r="EJ7" s="161"/>
      <c r="EK7" s="161"/>
      <c r="EL7" s="161"/>
      <c r="EM7" s="163"/>
      <c r="EN7" s="711" t="s">
        <v>398</v>
      </c>
      <c r="EO7" s="948" t="s">
        <v>402</v>
      </c>
      <c r="EP7" s="940" t="s">
        <v>403</v>
      </c>
      <c r="EQ7" s="163"/>
      <c r="ER7" s="163"/>
      <c r="ES7" s="163"/>
      <c r="ET7" s="163"/>
      <c r="EU7" s="161"/>
      <c r="EV7" s="161"/>
      <c r="EW7" s="161"/>
      <c r="EX7" s="163"/>
      <c r="EY7" s="711" t="s">
        <v>404</v>
      </c>
      <c r="EZ7" s="948" t="s">
        <v>407</v>
      </c>
      <c r="FA7" s="940" t="s">
        <v>408</v>
      </c>
      <c r="FB7" s="163"/>
      <c r="FC7" s="163"/>
      <c r="FD7" s="163"/>
      <c r="FE7" s="163"/>
      <c r="FF7" s="161"/>
      <c r="FG7" s="161"/>
      <c r="FH7" s="161"/>
      <c r="FI7" s="161"/>
      <c r="FJ7" s="161"/>
      <c r="FK7" s="711" t="s">
        <v>411</v>
      </c>
      <c r="FL7" s="948" t="s">
        <v>414</v>
      </c>
      <c r="FM7" s="940" t="s">
        <v>415</v>
      </c>
      <c r="FN7" s="163"/>
      <c r="FO7" s="163"/>
      <c r="FP7" s="163"/>
      <c r="FQ7" s="163"/>
      <c r="FR7" s="163"/>
      <c r="FS7" s="163"/>
      <c r="FT7" s="163"/>
      <c r="FU7" s="163"/>
      <c r="FV7" s="163"/>
      <c r="FW7" s="163"/>
      <c r="FX7" s="952" t="s">
        <v>422</v>
      </c>
      <c r="FY7" s="950" t="s">
        <v>414</v>
      </c>
      <c r="FZ7" s="950" t="s">
        <v>423</v>
      </c>
      <c r="GA7" s="953" t="s">
        <v>425</v>
      </c>
      <c r="GB7" s="941" t="s">
        <v>424</v>
      </c>
      <c r="GC7" s="941" t="s">
        <v>423</v>
      </c>
      <c r="GD7" s="162"/>
      <c r="GE7" s="162"/>
      <c r="GF7" s="162"/>
      <c r="GG7" s="162"/>
      <c r="GH7" s="162"/>
      <c r="GI7" s="162"/>
      <c r="GJ7" s="162"/>
      <c r="GK7" s="162"/>
      <c r="GL7" s="162"/>
      <c r="GM7" s="162"/>
      <c r="GN7" s="162"/>
      <c r="GO7" s="162"/>
      <c r="GP7" s="162"/>
      <c r="GQ7" s="162"/>
      <c r="GR7" s="162"/>
      <c r="GT7" s="161"/>
      <c r="GU7" s="161"/>
      <c r="GV7" s="161"/>
      <c r="GW7" s="161"/>
      <c r="GX7" s="161"/>
      <c r="GY7" s="951"/>
      <c r="GZ7" s="163"/>
      <c r="HA7" s="163"/>
      <c r="HB7" s="711" t="s">
        <v>275</v>
      </c>
      <c r="HC7" s="948" t="s">
        <v>277</v>
      </c>
      <c r="HD7" s="940" t="s">
        <v>278</v>
      </c>
      <c r="HE7" s="162"/>
      <c r="HF7" s="163"/>
      <c r="HG7" s="711" t="s">
        <v>305</v>
      </c>
      <c r="HH7" s="948" t="s">
        <v>307</v>
      </c>
      <c r="HI7" s="940" t="s">
        <v>308</v>
      </c>
      <c r="HJ7" s="162"/>
      <c r="HK7" s="162"/>
      <c r="HL7" s="711" t="s">
        <v>316</v>
      </c>
      <c r="HM7" s="948" t="s">
        <v>317</v>
      </c>
      <c r="HN7" s="940" t="s">
        <v>318</v>
      </c>
      <c r="HO7" s="162"/>
      <c r="HP7" s="162"/>
      <c r="HQ7" s="162"/>
      <c r="HR7" s="940" t="s">
        <v>173</v>
      </c>
      <c r="HS7" s="940" t="s">
        <v>174</v>
      </c>
      <c r="HT7" s="163"/>
      <c r="HU7" s="163"/>
      <c r="HV7" s="164" t="s">
        <v>175</v>
      </c>
      <c r="HW7" s="940" t="s">
        <v>176</v>
      </c>
      <c r="HX7" s="940" t="s">
        <v>177</v>
      </c>
      <c r="HY7" s="161"/>
      <c r="HZ7" s="164" t="s">
        <v>178</v>
      </c>
      <c r="IA7" s="940" t="s">
        <v>179</v>
      </c>
      <c r="IB7" s="940" t="s">
        <v>180</v>
      </c>
      <c r="IC7" s="162"/>
      <c r="ID7" s="164" t="s">
        <v>181</v>
      </c>
      <c r="IE7" s="940" t="s">
        <v>182</v>
      </c>
      <c r="IF7" s="940" t="s">
        <v>183</v>
      </c>
      <c r="IG7" s="161"/>
      <c r="IH7" s="164" t="s">
        <v>184</v>
      </c>
      <c r="II7" s="940" t="s">
        <v>185</v>
      </c>
      <c r="IJ7" s="940" t="s">
        <v>186</v>
      </c>
      <c r="IK7" s="161"/>
      <c r="IL7" s="161"/>
      <c r="IM7" s="164" t="s">
        <v>187</v>
      </c>
      <c r="IN7" s="940" t="s">
        <v>188</v>
      </c>
      <c r="IO7" s="940" t="s">
        <v>189</v>
      </c>
      <c r="IP7" s="161"/>
      <c r="IQ7" s="161"/>
      <c r="IR7" s="161"/>
      <c r="IS7" s="161"/>
      <c r="IT7" s="165" t="s">
        <v>190</v>
      </c>
      <c r="IU7" s="940" t="s">
        <v>191</v>
      </c>
      <c r="IV7" s="940" t="s">
        <v>192</v>
      </c>
      <c r="IW7" s="161"/>
      <c r="IX7" s="161"/>
      <c r="IY7" s="161"/>
      <c r="IZ7" s="161"/>
      <c r="JA7" s="161"/>
      <c r="JD7" s="940" t="s">
        <v>193</v>
      </c>
      <c r="JE7" s="940" t="s">
        <v>194</v>
      </c>
      <c r="JF7" s="940" t="s">
        <v>195</v>
      </c>
      <c r="JG7" s="940" t="s">
        <v>196</v>
      </c>
      <c r="JH7" s="940" t="s">
        <v>197</v>
      </c>
      <c r="JI7" s="940" t="s">
        <v>198</v>
      </c>
      <c r="JJ7" s="940" t="s">
        <v>199</v>
      </c>
      <c r="JK7" s="940" t="s">
        <v>200</v>
      </c>
      <c r="JL7" s="940" t="s">
        <v>201</v>
      </c>
      <c r="JM7" s="940" t="s">
        <v>202</v>
      </c>
      <c r="JN7" s="162"/>
    </row>
    <row r="8" spans="1:288" ht="23.4" customHeight="1" x14ac:dyDescent="0.25">
      <c r="A8" s="956"/>
      <c r="B8" s="956"/>
      <c r="C8" s="956"/>
      <c r="D8" s="63" t="s">
        <v>570</v>
      </c>
      <c r="E8" s="167" t="s">
        <v>203</v>
      </c>
      <c r="F8" s="63" t="s">
        <v>204</v>
      </c>
      <c r="G8" s="166" t="s">
        <v>434</v>
      </c>
      <c r="H8" s="166" t="s">
        <v>557</v>
      </c>
      <c r="I8" s="960"/>
      <c r="J8" s="166" t="s">
        <v>329</v>
      </c>
      <c r="K8" s="960"/>
      <c r="L8" s="166" t="s">
        <v>434</v>
      </c>
      <c r="M8" s="960"/>
      <c r="N8" s="166" t="s">
        <v>557</v>
      </c>
      <c r="O8" s="168"/>
      <c r="P8" s="168"/>
      <c r="Q8" s="168"/>
      <c r="R8" s="961"/>
      <c r="S8" s="950"/>
      <c r="T8" s="940"/>
      <c r="U8" s="168"/>
      <c r="V8" s="950"/>
      <c r="W8" s="940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949"/>
      <c r="AT8" s="950"/>
      <c r="AU8" s="940"/>
      <c r="AV8" s="168"/>
      <c r="AW8" s="949"/>
      <c r="AX8" s="950"/>
      <c r="AY8" s="940"/>
      <c r="AZ8" s="168"/>
      <c r="BA8" s="949"/>
      <c r="BB8" s="950"/>
      <c r="BC8" s="940"/>
      <c r="BD8" s="168"/>
      <c r="BE8" s="168"/>
      <c r="BF8" s="335" t="s">
        <v>487</v>
      </c>
      <c r="BG8" s="948"/>
      <c r="BH8" s="940"/>
      <c r="BI8" s="168"/>
      <c r="BJ8" s="948"/>
      <c r="BK8" s="940"/>
      <c r="BL8" s="168"/>
      <c r="BM8" s="948"/>
      <c r="BN8" s="940"/>
      <c r="BO8" s="162"/>
      <c r="BP8" s="168"/>
      <c r="BQ8" s="335" t="s">
        <v>499</v>
      </c>
      <c r="BR8" s="948"/>
      <c r="BS8" s="940"/>
      <c r="BT8" s="168"/>
      <c r="BU8" s="335" t="s">
        <v>501</v>
      </c>
      <c r="BV8" s="948"/>
      <c r="BW8" s="940"/>
      <c r="BX8" s="168"/>
      <c r="BY8" s="335" t="s">
        <v>506</v>
      </c>
      <c r="BZ8" s="948"/>
      <c r="CA8" s="940"/>
      <c r="CB8" s="168"/>
      <c r="CC8" s="168"/>
      <c r="CD8" s="941"/>
      <c r="CE8" s="946"/>
      <c r="CF8" s="940"/>
      <c r="CG8" s="168"/>
      <c r="CH8" s="947"/>
      <c r="CI8" s="953"/>
      <c r="CJ8" s="940"/>
      <c r="CK8" s="168"/>
      <c r="CL8" s="947"/>
      <c r="CM8" s="953"/>
      <c r="CN8" s="940"/>
      <c r="CO8" s="168"/>
      <c r="CP8" s="335" t="s">
        <v>545</v>
      </c>
      <c r="CQ8" s="948"/>
      <c r="CR8" s="940"/>
      <c r="CS8" s="168"/>
      <c r="CT8" s="168"/>
      <c r="CU8" s="335" t="s">
        <v>552</v>
      </c>
      <c r="CV8" s="948"/>
      <c r="CW8" s="940"/>
      <c r="CX8" s="168"/>
      <c r="CY8" s="168"/>
      <c r="CZ8" s="949"/>
      <c r="DA8" s="950"/>
      <c r="DB8" s="940"/>
      <c r="DC8" s="168"/>
      <c r="DD8" s="168"/>
      <c r="DE8" s="162"/>
      <c r="DF8" s="335" t="s">
        <v>362</v>
      </c>
      <c r="DG8" s="948"/>
      <c r="DH8" s="940"/>
      <c r="DI8" s="162"/>
      <c r="DJ8" s="162"/>
      <c r="DK8" s="162"/>
      <c r="DL8" s="168"/>
      <c r="DM8" s="168"/>
      <c r="DN8" s="162"/>
      <c r="DO8" s="335" t="s">
        <v>357</v>
      </c>
      <c r="DP8" s="948"/>
      <c r="DQ8" s="940"/>
      <c r="DR8" s="168"/>
      <c r="DS8" s="168"/>
      <c r="DT8" s="168"/>
      <c r="DU8" s="168"/>
      <c r="DV8" s="168"/>
      <c r="DW8" s="168"/>
      <c r="DX8" s="168"/>
      <c r="DY8" s="168"/>
      <c r="DZ8" s="168"/>
      <c r="EA8" s="162"/>
      <c r="EB8" s="335" t="s">
        <v>384</v>
      </c>
      <c r="EC8" s="948"/>
      <c r="ED8" s="940"/>
      <c r="EE8" s="168"/>
      <c r="EF8" s="168"/>
      <c r="EG8" s="168"/>
      <c r="EH8" s="168"/>
      <c r="EI8" s="168"/>
      <c r="EJ8" s="168"/>
      <c r="EK8" s="168"/>
      <c r="EL8" s="168"/>
      <c r="EM8" s="163"/>
      <c r="EN8" s="335" t="s">
        <v>399</v>
      </c>
      <c r="EO8" s="948"/>
      <c r="EP8" s="940"/>
      <c r="EQ8" s="163"/>
      <c r="ER8" s="163"/>
      <c r="ES8" s="163"/>
      <c r="ET8" s="163"/>
      <c r="EU8" s="168"/>
      <c r="EV8" s="168"/>
      <c r="EW8" s="168"/>
      <c r="EX8" s="163"/>
      <c r="EY8" s="335" t="s">
        <v>405</v>
      </c>
      <c r="EZ8" s="948"/>
      <c r="FA8" s="940"/>
      <c r="FB8" s="163"/>
      <c r="FC8" s="163"/>
      <c r="FD8" s="163"/>
      <c r="FE8" s="163"/>
      <c r="FF8" s="168"/>
      <c r="FG8" s="168"/>
      <c r="FH8" s="168"/>
      <c r="FI8" s="168"/>
      <c r="FJ8" s="168"/>
      <c r="FK8" s="335" t="s">
        <v>413</v>
      </c>
      <c r="FL8" s="948"/>
      <c r="FM8" s="940"/>
      <c r="FN8" s="163"/>
      <c r="FO8" s="163"/>
      <c r="FP8" s="163"/>
      <c r="FQ8" s="163"/>
      <c r="FR8" s="163"/>
      <c r="FS8" s="163"/>
      <c r="FT8" s="163"/>
      <c r="FU8" s="163"/>
      <c r="FV8" s="163"/>
      <c r="FW8" s="163"/>
      <c r="FX8" s="952"/>
      <c r="FY8" s="950"/>
      <c r="FZ8" s="950"/>
      <c r="GA8" s="953"/>
      <c r="GB8" s="941"/>
      <c r="GC8" s="941"/>
      <c r="GD8" s="162"/>
      <c r="GE8" s="162"/>
      <c r="GF8" s="162"/>
      <c r="GG8" s="162"/>
      <c r="GH8" s="162"/>
      <c r="GI8" s="162"/>
      <c r="GJ8" s="162"/>
      <c r="GK8" s="162"/>
      <c r="GL8" s="162"/>
      <c r="GM8" s="162"/>
      <c r="GN8" s="162"/>
      <c r="GO8" s="162"/>
      <c r="GP8" s="162"/>
      <c r="GQ8" s="162"/>
      <c r="GR8" s="162"/>
      <c r="GT8" s="168"/>
      <c r="GU8" s="168"/>
      <c r="GV8" s="168"/>
      <c r="GW8" s="168"/>
      <c r="GX8" s="168"/>
      <c r="GY8" s="951"/>
      <c r="GZ8" s="163"/>
      <c r="HA8" s="163"/>
      <c r="HB8" s="335" t="s">
        <v>276</v>
      </c>
      <c r="HC8" s="948"/>
      <c r="HD8" s="940"/>
      <c r="HE8" s="162"/>
      <c r="HF8" s="163"/>
      <c r="HG8" s="335" t="s">
        <v>306</v>
      </c>
      <c r="HH8" s="948"/>
      <c r="HI8" s="940"/>
      <c r="HJ8" s="162"/>
      <c r="HK8" s="162"/>
      <c r="HL8" s="335" t="s">
        <v>315</v>
      </c>
      <c r="HM8" s="948"/>
      <c r="HN8" s="940"/>
      <c r="HO8" s="162"/>
      <c r="HP8" s="162"/>
      <c r="HQ8" s="162"/>
      <c r="HR8" s="940"/>
      <c r="HS8" s="940"/>
      <c r="HT8" s="163"/>
      <c r="HU8" s="163"/>
      <c r="HV8" s="169" t="s">
        <v>205</v>
      </c>
      <c r="HW8" s="940"/>
      <c r="HX8" s="940"/>
      <c r="HY8" s="168"/>
      <c r="HZ8" s="169" t="s">
        <v>206</v>
      </c>
      <c r="IA8" s="940"/>
      <c r="IB8" s="940"/>
      <c r="IC8" s="162"/>
      <c r="ID8" s="169" t="s">
        <v>207</v>
      </c>
      <c r="IE8" s="940"/>
      <c r="IF8" s="940"/>
      <c r="IG8" s="168"/>
      <c r="IH8" s="169" t="s">
        <v>208</v>
      </c>
      <c r="II8" s="940"/>
      <c r="IJ8" s="940"/>
      <c r="IK8" s="168"/>
      <c r="IL8" s="168"/>
      <c r="IM8" s="169" t="s">
        <v>209</v>
      </c>
      <c r="IN8" s="940"/>
      <c r="IO8" s="940"/>
      <c r="IP8" s="168"/>
      <c r="IQ8" s="168"/>
      <c r="IR8" s="168"/>
      <c r="IS8" s="168"/>
      <c r="IT8" s="170" t="s">
        <v>210</v>
      </c>
      <c r="IU8" s="940"/>
      <c r="IV8" s="940"/>
      <c r="IW8" s="168"/>
      <c r="IX8" s="168"/>
      <c r="IY8" s="168"/>
      <c r="IZ8" s="168"/>
      <c r="JA8" s="168"/>
      <c r="JD8" s="940"/>
      <c r="JE8" s="940"/>
      <c r="JF8" s="940"/>
      <c r="JG8" s="940"/>
      <c r="JH8" s="940"/>
      <c r="JI8" s="940"/>
      <c r="JJ8" s="940"/>
      <c r="JK8" s="940"/>
      <c r="JL8" s="940"/>
      <c r="JM8" s="940"/>
      <c r="JN8" s="162"/>
    </row>
    <row r="9" spans="1:288" ht="25.2" customHeight="1" x14ac:dyDescent="0.25">
      <c r="A9" s="144" t="s">
        <v>18</v>
      </c>
      <c r="B9" s="144" t="s">
        <v>120</v>
      </c>
      <c r="C9" s="144" t="s">
        <v>19</v>
      </c>
      <c r="D9" s="144" t="s">
        <v>20</v>
      </c>
      <c r="E9" s="144" t="s">
        <v>20</v>
      </c>
      <c r="F9" s="144" t="s">
        <v>20</v>
      </c>
      <c r="G9" s="144" t="s">
        <v>20</v>
      </c>
      <c r="H9" s="144" t="s">
        <v>20</v>
      </c>
      <c r="I9" s="144" t="s">
        <v>21</v>
      </c>
      <c r="J9" s="144" t="s">
        <v>21</v>
      </c>
      <c r="K9" s="144" t="s">
        <v>21</v>
      </c>
      <c r="L9" s="144" t="s">
        <v>21</v>
      </c>
      <c r="M9" s="144" t="s">
        <v>21</v>
      </c>
      <c r="N9" s="144" t="s">
        <v>21</v>
      </c>
      <c r="O9" s="171"/>
      <c r="P9" s="171"/>
      <c r="Q9" s="171"/>
      <c r="R9" s="287" t="s">
        <v>211</v>
      </c>
      <c r="S9" s="173"/>
      <c r="T9" s="508" t="s">
        <v>485</v>
      </c>
      <c r="U9" s="171"/>
      <c r="V9" s="173"/>
      <c r="W9" s="792">
        <v>63755588.189999998</v>
      </c>
      <c r="X9" s="176">
        <f>W9-W18</f>
        <v>63371860.509999998</v>
      </c>
      <c r="Y9" s="176"/>
      <c r="Z9" s="176"/>
      <c r="AA9" s="176"/>
      <c r="AB9" s="176"/>
      <c r="AC9" s="176"/>
      <c r="AD9" s="176"/>
      <c r="AE9" s="176"/>
      <c r="AF9" s="247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2" t="s">
        <v>211</v>
      </c>
      <c r="AT9" s="173"/>
      <c r="AU9" s="508" t="s">
        <v>214</v>
      </c>
      <c r="AV9" s="171"/>
      <c r="AW9" s="172" t="s">
        <v>211</v>
      </c>
      <c r="AX9" s="173"/>
      <c r="AY9" s="508" t="s">
        <v>485</v>
      </c>
      <c r="AZ9" s="171"/>
      <c r="BA9" s="172" t="s">
        <v>211</v>
      </c>
      <c r="BB9" s="173"/>
      <c r="BC9" s="508" t="s">
        <v>484</v>
      </c>
      <c r="BD9" s="171"/>
      <c r="BE9" s="171"/>
      <c r="BF9" s="232">
        <f>24922888.44</f>
        <v>24922888.440000001</v>
      </c>
      <c r="BG9" s="176">
        <f>BF9-AU17</f>
        <v>5680410</v>
      </c>
      <c r="BH9" s="247">
        <f>BG9/AS17</f>
        <v>82.482575361561203</v>
      </c>
      <c r="BI9" s="171"/>
      <c r="BJ9" s="232">
        <v>15242171.380000001</v>
      </c>
      <c r="BK9" s="176">
        <f>BJ9-AY17</f>
        <v>-4000307.07</v>
      </c>
      <c r="BL9" s="171"/>
      <c r="BM9" s="232">
        <v>12196137.380000001</v>
      </c>
      <c r="BN9" s="176">
        <f>BM9-BC17</f>
        <v>-7046341.0499999998</v>
      </c>
      <c r="BO9" s="176"/>
      <c r="BP9" s="171"/>
      <c r="BQ9" s="665">
        <f>24922888.44</f>
        <v>24922888.440000001</v>
      </c>
      <c r="BR9" s="666" t="s">
        <v>496</v>
      </c>
      <c r="BS9" s="247"/>
      <c r="BT9" s="171"/>
      <c r="BU9" s="665">
        <v>25005238.440000001</v>
      </c>
      <c r="BV9" s="666" t="s">
        <v>502</v>
      </c>
      <c r="BW9" s="665">
        <f>BU9-BQ9</f>
        <v>82350</v>
      </c>
      <c r="BX9" s="171"/>
      <c r="BY9" s="665">
        <v>25581749.609999999</v>
      </c>
      <c r="BZ9" s="666" t="s">
        <v>502</v>
      </c>
      <c r="CA9" s="665">
        <f>BY9-BU9</f>
        <v>576511.17000000004</v>
      </c>
      <c r="CB9" s="171"/>
      <c r="CC9" s="171"/>
      <c r="CD9" s="731" t="s">
        <v>211</v>
      </c>
      <c r="CE9" s="714"/>
      <c r="CF9" s="716" t="s">
        <v>214</v>
      </c>
      <c r="CG9" s="171"/>
      <c r="CH9" s="250" t="s">
        <v>211</v>
      </c>
      <c r="CI9" s="714"/>
      <c r="CJ9" s="716" t="s">
        <v>485</v>
      </c>
      <c r="CK9" s="171"/>
      <c r="CL9" s="250" t="s">
        <v>211</v>
      </c>
      <c r="CM9" s="714"/>
      <c r="CN9" s="716" t="s">
        <v>484</v>
      </c>
      <c r="CO9" s="171"/>
      <c r="CP9" s="665">
        <v>57706619.369999997</v>
      </c>
      <c r="CQ9" s="666" t="s">
        <v>548</v>
      </c>
      <c r="CR9" s="665">
        <f>CP10-CF17</f>
        <v>1753973.39</v>
      </c>
      <c r="CS9" s="171"/>
      <c r="CT9" s="171"/>
      <c r="CU9" s="665">
        <v>56337676.009999998</v>
      </c>
      <c r="CV9" s="666" t="s">
        <v>548</v>
      </c>
      <c r="CW9" s="665">
        <f>CU10-CP10</f>
        <v>-1368943.36</v>
      </c>
      <c r="CX9" s="171"/>
      <c r="CY9" s="171"/>
      <c r="CZ9" s="172" t="s">
        <v>211</v>
      </c>
      <c r="DA9" s="173"/>
      <c r="DB9" s="508" t="s">
        <v>213</v>
      </c>
      <c r="DC9" s="171"/>
      <c r="DD9" s="171"/>
      <c r="DE9" s="174"/>
      <c r="DF9" s="335" t="s">
        <v>360</v>
      </c>
      <c r="DG9" s="338"/>
      <c r="DH9" s="174"/>
      <c r="DI9" s="174"/>
      <c r="DJ9" s="177" t="s">
        <v>360</v>
      </c>
      <c r="DK9" s="511"/>
      <c r="DL9" s="171"/>
      <c r="DM9" s="171"/>
      <c r="DN9" s="174"/>
      <c r="DO9" s="177" t="s">
        <v>370</v>
      </c>
      <c r="DP9" s="338">
        <v>69.806147100000004</v>
      </c>
      <c r="DQ9" s="525">
        <f>69.81-0.0159+0.00006</f>
        <v>69.794160000000005</v>
      </c>
      <c r="DR9" s="177" t="s">
        <v>370</v>
      </c>
      <c r="DS9" s="63"/>
      <c r="DT9" s="171"/>
      <c r="DU9" s="171"/>
      <c r="DV9" s="171"/>
      <c r="DW9" s="171"/>
      <c r="DX9" s="171"/>
      <c r="DY9" s="171"/>
      <c r="DZ9" s="171"/>
      <c r="EA9" s="174"/>
      <c r="EB9" s="177" t="s">
        <v>385</v>
      </c>
      <c r="EC9" s="551">
        <f>EJ17</f>
        <v>25.504339999999999</v>
      </c>
      <c r="ED9" s="525">
        <v>25.8</v>
      </c>
      <c r="EE9" s="177" t="s">
        <v>385</v>
      </c>
      <c r="EF9" s="63"/>
      <c r="EG9" s="171"/>
      <c r="EH9" s="171"/>
      <c r="EI9" s="171"/>
      <c r="EJ9" s="171"/>
      <c r="EK9" s="450"/>
      <c r="EL9" s="450"/>
      <c r="EM9" s="338"/>
      <c r="EN9" s="177" t="s">
        <v>400</v>
      </c>
      <c r="EO9" s="557">
        <f>EV17</f>
        <v>0.87980999999999998</v>
      </c>
      <c r="EP9" s="558">
        <v>0.88</v>
      </c>
      <c r="EQ9" s="177" t="s">
        <v>400</v>
      </c>
      <c r="ER9" s="63"/>
      <c r="ES9" s="338"/>
      <c r="ET9" s="525"/>
      <c r="EU9" s="171"/>
      <c r="EV9" s="171"/>
      <c r="EW9" s="171"/>
      <c r="EX9" s="338"/>
      <c r="EY9" s="177" t="s">
        <v>406</v>
      </c>
      <c r="EZ9" s="557">
        <f>FG17</f>
        <v>0</v>
      </c>
      <c r="FA9" s="558">
        <v>0.88</v>
      </c>
      <c r="FB9" s="177" t="s">
        <v>406</v>
      </c>
      <c r="FC9" s="63"/>
      <c r="FD9" s="338"/>
      <c r="FE9" s="525"/>
      <c r="FF9" s="171"/>
      <c r="FG9" s="171"/>
      <c r="FH9" s="171"/>
      <c r="FI9" s="171"/>
      <c r="FJ9" s="171"/>
      <c r="FK9" s="177" t="s">
        <v>412</v>
      </c>
      <c r="FL9" s="557">
        <f>GW17</f>
        <v>0</v>
      </c>
      <c r="FM9" s="558">
        <v>0.88</v>
      </c>
      <c r="FN9" s="177" t="s">
        <v>412</v>
      </c>
      <c r="FO9" s="247"/>
      <c r="FP9" s="247"/>
      <c r="FQ9" s="247"/>
      <c r="FR9" s="247"/>
      <c r="FS9" s="247"/>
      <c r="FT9" s="247"/>
      <c r="FU9" s="247"/>
      <c r="FV9" s="247"/>
      <c r="FW9" s="247"/>
      <c r="FX9" s="595" t="s">
        <v>211</v>
      </c>
      <c r="FY9" s="587"/>
      <c r="FZ9" s="599" t="s">
        <v>213</v>
      </c>
      <c r="GA9" s="584" t="s">
        <v>21</v>
      </c>
      <c r="GB9" s="590" t="s">
        <v>21</v>
      </c>
      <c r="GC9" s="590" t="s">
        <v>21</v>
      </c>
      <c r="GD9" s="273"/>
      <c r="GE9" s="273"/>
      <c r="GF9" s="273"/>
      <c r="GG9" s="273"/>
      <c r="GH9" s="273"/>
      <c r="GI9" s="273"/>
      <c r="GJ9" s="273"/>
      <c r="GK9" s="273"/>
      <c r="GL9" s="273"/>
      <c r="GM9" s="273"/>
      <c r="GN9" s="273"/>
      <c r="GO9" s="273"/>
      <c r="GP9" s="273"/>
      <c r="GQ9" s="273"/>
      <c r="GR9" s="273"/>
      <c r="GT9" s="171"/>
      <c r="GU9" s="171"/>
      <c r="GV9" s="171"/>
      <c r="GW9" s="171"/>
      <c r="GX9" s="171"/>
      <c r="GY9" s="324"/>
      <c r="HA9" s="174"/>
      <c r="HB9" s="63"/>
      <c r="HC9" s="338">
        <v>18.9381585</v>
      </c>
      <c r="HD9" s="174"/>
      <c r="HE9" s="174"/>
      <c r="HF9" s="174"/>
      <c r="HG9" s="63"/>
      <c r="HH9" s="338">
        <v>1.9072069</v>
      </c>
      <c r="HI9" s="174"/>
      <c r="HJ9" s="174"/>
      <c r="HK9" s="174"/>
      <c r="HL9" s="63"/>
      <c r="HM9" s="338">
        <v>9.6734697000000001</v>
      </c>
      <c r="HN9" s="174"/>
      <c r="HO9" s="174"/>
      <c r="HP9" s="174"/>
      <c r="HQ9" s="174"/>
      <c r="HS9" s="174">
        <v>304168.17</v>
      </c>
      <c r="HU9" s="174"/>
      <c r="HV9" s="171"/>
      <c r="HX9" s="174">
        <f>145778.83</f>
        <v>145778.82999999999</v>
      </c>
      <c r="HY9" s="171"/>
      <c r="HZ9" s="171"/>
      <c r="IB9" s="174">
        <v>167609</v>
      </c>
      <c r="IC9" s="174"/>
      <c r="ID9" s="171"/>
      <c r="IE9" s="171"/>
      <c r="IF9" s="175">
        <v>-27213.64</v>
      </c>
      <c r="IG9" s="171"/>
      <c r="IH9" s="171"/>
      <c r="II9" s="176">
        <f>44803360.28-9993200</f>
        <v>34810160.280000001</v>
      </c>
      <c r="IJ9" s="175">
        <v>91792.17</v>
      </c>
      <c r="IK9" s="177" t="s">
        <v>215</v>
      </c>
      <c r="IL9" s="171"/>
      <c r="IM9" s="171"/>
      <c r="IN9" s="176">
        <f>44803360.28-9993200+1277754</f>
        <v>36087914.280000001</v>
      </c>
      <c r="IO9" s="175">
        <v>212959</v>
      </c>
      <c r="IP9" s="177" t="s">
        <v>215</v>
      </c>
      <c r="IQ9" s="171"/>
      <c r="IR9" s="171"/>
      <c r="IS9" s="171"/>
      <c r="IT9" s="171"/>
      <c r="IU9" s="176">
        <f>44803360.28-9993200+1277754+595148.68</f>
        <v>36683062.960000001</v>
      </c>
      <c r="IV9" s="178">
        <v>99191.444000000003</v>
      </c>
      <c r="IW9" s="177" t="s">
        <v>215</v>
      </c>
      <c r="IX9" s="171"/>
      <c r="IY9" s="171"/>
      <c r="IZ9" s="171"/>
      <c r="JA9" s="171"/>
      <c r="JC9" s="179" t="s">
        <v>216</v>
      </c>
      <c r="JE9" s="180" t="s">
        <v>217</v>
      </c>
      <c r="JG9" s="181">
        <v>182795.33</v>
      </c>
      <c r="JI9" s="181">
        <v>288911</v>
      </c>
      <c r="JK9" s="182">
        <v>11366.666670000001</v>
      </c>
      <c r="JL9" s="181"/>
      <c r="JM9" s="182">
        <v>8333.3333299999995</v>
      </c>
      <c r="JN9" s="181"/>
    </row>
    <row r="10" spans="1:288" ht="19.95" customHeight="1" x14ac:dyDescent="0.25">
      <c r="A10" s="183"/>
      <c r="B10" s="184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5"/>
      <c r="P10" s="185"/>
      <c r="Q10" s="185"/>
      <c r="R10" s="796"/>
      <c r="S10" s="173"/>
      <c r="T10" s="509" t="s">
        <v>218</v>
      </c>
      <c r="U10" s="185"/>
      <c r="V10" s="173"/>
      <c r="W10" s="509" t="s">
        <v>218</v>
      </c>
      <c r="X10" s="259">
        <f>X9-T17</f>
        <v>6813360.5099999998</v>
      </c>
      <c r="Y10" s="259"/>
      <c r="Z10" s="259"/>
      <c r="AA10" s="259"/>
      <c r="AB10" s="259"/>
      <c r="AC10" s="259"/>
      <c r="AD10" s="259"/>
      <c r="AE10" s="259"/>
      <c r="AF10" s="272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/>
      <c r="AT10" s="173"/>
      <c r="AU10" s="509" t="s">
        <v>218</v>
      </c>
      <c r="AV10" s="185"/>
      <c r="AW10" s="186"/>
      <c r="AX10" s="173"/>
      <c r="AY10" s="509" t="s">
        <v>218</v>
      </c>
      <c r="AZ10" s="185"/>
      <c r="BA10" s="186"/>
      <c r="BB10" s="173"/>
      <c r="BC10" s="509" t="s">
        <v>218</v>
      </c>
      <c r="BD10" s="185"/>
      <c r="BE10" s="185"/>
      <c r="BF10" s="185"/>
      <c r="BG10" s="185"/>
      <c r="BH10" s="185"/>
      <c r="BI10" s="185"/>
      <c r="BJ10" s="185"/>
      <c r="BK10" s="162">
        <f>BK9/AW17</f>
        <v>-58.082370014374298</v>
      </c>
      <c r="BL10" s="185"/>
      <c r="BM10" s="185"/>
      <c r="BN10" s="272">
        <f>BN9/BA17</f>
        <v>-102.301766166265</v>
      </c>
      <c r="BO10" s="272"/>
      <c r="BP10" s="185"/>
      <c r="BQ10" s="185"/>
      <c r="BR10" s="185"/>
      <c r="BS10" s="185"/>
      <c r="BT10" s="185"/>
      <c r="BU10" s="185"/>
      <c r="BV10" s="185"/>
      <c r="BW10" s="671">
        <f>BW9/AS17</f>
        <v>1.19576581285938</v>
      </c>
      <c r="BX10" s="672" t="s">
        <v>497</v>
      </c>
      <c r="BY10" s="185"/>
      <c r="BZ10" s="185"/>
      <c r="CA10" s="671">
        <f>CA9/AS17</f>
        <v>8.3712489109600998</v>
      </c>
      <c r="CB10" s="672" t="s">
        <v>497</v>
      </c>
      <c r="CC10" s="185"/>
      <c r="CD10" s="732"/>
      <c r="CE10" s="714"/>
      <c r="CF10" s="717" t="s">
        <v>218</v>
      </c>
      <c r="CG10" s="185"/>
      <c r="CH10" s="715"/>
      <c r="CI10" s="714"/>
      <c r="CJ10" s="717" t="s">
        <v>218</v>
      </c>
      <c r="CK10" s="185"/>
      <c r="CL10" s="715"/>
      <c r="CM10" s="714"/>
      <c r="CN10" s="717" t="s">
        <v>218</v>
      </c>
      <c r="CO10" s="185"/>
      <c r="CP10" s="733">
        <f>CP9-CR18</f>
        <v>56939164.030000001</v>
      </c>
      <c r="CQ10" s="293" t="s">
        <v>549</v>
      </c>
      <c r="CR10" s="671">
        <f>CR9/CD17</f>
        <v>10.4088434377003</v>
      </c>
      <c r="CS10" s="672" t="s">
        <v>497</v>
      </c>
      <c r="CT10" s="176"/>
      <c r="CU10" s="733">
        <f>CU9-CW18</f>
        <v>55570220.670000002</v>
      </c>
      <c r="CV10" s="293" t="s">
        <v>549</v>
      </c>
      <c r="CW10" s="671">
        <f>CW9/CD17</f>
        <v>-8.1239072328910193</v>
      </c>
      <c r="CX10" s="272" t="s">
        <v>555</v>
      </c>
      <c r="CY10" s="185"/>
      <c r="CZ10" s="186"/>
      <c r="DA10" s="173"/>
      <c r="DB10" s="509" t="s">
        <v>218</v>
      </c>
      <c r="DC10" s="185"/>
      <c r="DD10" s="185"/>
      <c r="DE10" s="180"/>
      <c r="DF10" s="336"/>
      <c r="DG10" s="188"/>
      <c r="DH10" s="180" t="s">
        <v>218</v>
      </c>
      <c r="DI10" s="180"/>
      <c r="DJ10" s="512"/>
      <c r="DK10" s="512"/>
      <c r="DL10" s="185"/>
      <c r="DM10" s="185"/>
      <c r="DN10" s="180"/>
      <c r="DO10" s="336"/>
      <c r="DP10" s="188"/>
      <c r="DQ10" s="180" t="s">
        <v>218</v>
      </c>
      <c r="DR10" s="184"/>
      <c r="DS10" s="184"/>
      <c r="DT10" s="185"/>
      <c r="DU10" s="185"/>
      <c r="DV10" s="185"/>
      <c r="DW10" s="185"/>
      <c r="DX10" s="185"/>
      <c r="DY10" s="185"/>
      <c r="DZ10" s="185"/>
      <c r="EA10" s="180"/>
      <c r="EB10" s="336"/>
      <c r="EC10" s="188"/>
      <c r="ED10" s="180" t="s">
        <v>218</v>
      </c>
      <c r="EE10" s="215">
        <f>SUM(EE11:EE17)</f>
        <v>52440014.130000003</v>
      </c>
      <c r="EF10" s="184"/>
      <c r="EG10" s="185"/>
      <c r="EH10" s="185"/>
      <c r="EI10" s="185"/>
      <c r="EJ10" s="185"/>
      <c r="EK10" s="185"/>
      <c r="EL10" s="185"/>
      <c r="EM10" s="188"/>
      <c r="EN10" s="188"/>
      <c r="EO10" s="188"/>
      <c r="EP10" s="180" t="s">
        <v>218</v>
      </c>
      <c r="EQ10" s="215">
        <f>SUM(EQ11:EQ17)</f>
        <v>52496455.93</v>
      </c>
      <c r="ER10" s="184"/>
      <c r="ES10" s="188"/>
      <c r="ET10" s="180"/>
      <c r="EU10" s="185"/>
      <c r="EV10" s="185"/>
      <c r="EW10" s="185"/>
      <c r="EX10" s="188"/>
      <c r="EY10" s="188"/>
      <c r="EZ10" s="188"/>
      <c r="FA10" s="180" t="s">
        <v>218</v>
      </c>
      <c r="FB10" s="215">
        <f>SUM(FB11:FB17)</f>
        <v>52930724.07</v>
      </c>
      <c r="FC10" s="184"/>
      <c r="FD10" s="188"/>
      <c r="FE10" s="180"/>
      <c r="FF10" s="185"/>
      <c r="FG10" s="185"/>
      <c r="FH10" s="185"/>
      <c r="FI10" s="185"/>
      <c r="FJ10" s="185"/>
      <c r="FK10" s="188"/>
      <c r="FL10" s="188"/>
      <c r="FM10" s="180" t="s">
        <v>218</v>
      </c>
      <c r="FN10" s="215">
        <f>SUM(FN11:FN17)</f>
        <v>56226747.869999997</v>
      </c>
      <c r="FO10" s="215"/>
      <c r="FP10" s="215"/>
      <c r="FQ10" s="215"/>
      <c r="FR10" s="215"/>
      <c r="FS10" s="215"/>
      <c r="FT10" s="215"/>
      <c r="FU10" s="215"/>
      <c r="FV10" s="215"/>
      <c r="FW10" s="215"/>
      <c r="FX10" s="596"/>
      <c r="FY10" s="588" t="s">
        <v>218</v>
      </c>
      <c r="FZ10" s="588" t="s">
        <v>218</v>
      </c>
      <c r="GA10" s="586"/>
      <c r="GB10" s="591"/>
      <c r="GC10" s="591"/>
      <c r="GD10" s="180"/>
      <c r="GE10" s="180"/>
      <c r="GF10" s="180"/>
      <c r="GG10" s="180"/>
      <c r="GH10" s="180"/>
      <c r="GI10" s="180"/>
      <c r="GJ10" s="180"/>
      <c r="GK10" s="180"/>
      <c r="GL10" s="180"/>
      <c r="GM10" s="180"/>
      <c r="GN10" s="180"/>
      <c r="GO10" s="180"/>
      <c r="GP10" s="180"/>
      <c r="GQ10" s="180"/>
      <c r="GR10" s="180"/>
      <c r="GT10" s="185"/>
      <c r="GU10" s="185"/>
      <c r="GV10" s="185"/>
      <c r="GW10" s="185"/>
      <c r="GX10" s="185"/>
      <c r="GY10" s="324"/>
      <c r="HA10" s="180"/>
      <c r="HB10" s="336"/>
      <c r="HC10" s="188"/>
      <c r="HD10" s="180" t="s">
        <v>218</v>
      </c>
      <c r="HE10" s="180"/>
      <c r="HF10" s="180"/>
      <c r="HG10" s="336"/>
      <c r="HH10" s="188"/>
      <c r="HI10" s="180" t="s">
        <v>218</v>
      </c>
      <c r="HJ10" s="180"/>
      <c r="HK10" s="180"/>
      <c r="HL10" s="336"/>
      <c r="HM10" s="188"/>
      <c r="HN10" s="180" t="s">
        <v>218</v>
      </c>
      <c r="HO10" s="180"/>
      <c r="HP10" s="180"/>
      <c r="HQ10" s="180"/>
      <c r="HS10" s="180" t="s">
        <v>218</v>
      </c>
      <c r="HU10" s="180"/>
      <c r="HV10" s="187" t="s">
        <v>219</v>
      </c>
      <c r="HW10" s="188" t="s">
        <v>220</v>
      </c>
      <c r="HX10" s="180" t="s">
        <v>218</v>
      </c>
      <c r="HY10" s="185"/>
      <c r="HZ10" s="187" t="s">
        <v>221</v>
      </c>
      <c r="IA10" s="188" t="s">
        <v>222</v>
      </c>
      <c r="IB10" s="180" t="s">
        <v>218</v>
      </c>
      <c r="IC10" s="180"/>
      <c r="ID10" s="187" t="s">
        <v>221</v>
      </c>
      <c r="IE10" s="188" t="s">
        <v>223</v>
      </c>
      <c r="IF10" s="180" t="s">
        <v>218</v>
      </c>
      <c r="IG10" s="185"/>
      <c r="IH10" s="187" t="s">
        <v>221</v>
      </c>
      <c r="II10" s="188" t="s">
        <v>224</v>
      </c>
      <c r="IJ10" s="180" t="s">
        <v>218</v>
      </c>
      <c r="IK10" s="184"/>
      <c r="IL10" s="185"/>
      <c r="IM10" s="187" t="s">
        <v>221</v>
      </c>
      <c r="IN10" s="188" t="s">
        <v>225</v>
      </c>
      <c r="IO10" s="180" t="s">
        <v>218</v>
      </c>
      <c r="IP10" s="184"/>
      <c r="IQ10" s="185"/>
      <c r="IR10" s="185"/>
      <c r="IS10" s="185"/>
      <c r="IT10" s="189" t="s">
        <v>221</v>
      </c>
      <c r="IU10" s="188" t="s">
        <v>226</v>
      </c>
      <c r="IV10" s="180" t="s">
        <v>218</v>
      </c>
      <c r="IW10" s="184"/>
      <c r="IX10" s="185"/>
      <c r="IY10" s="185"/>
      <c r="IZ10" s="185"/>
      <c r="JA10" s="185"/>
      <c r="JC10" s="190"/>
      <c r="JE10" s="180" t="s">
        <v>218</v>
      </c>
      <c r="JG10" s="180" t="s">
        <v>218</v>
      </c>
      <c r="JI10" s="180" t="s">
        <v>218</v>
      </c>
      <c r="JK10" s="180" t="s">
        <v>218</v>
      </c>
      <c r="JL10" s="180"/>
      <c r="JM10" s="180"/>
      <c r="JN10" s="180"/>
    </row>
    <row r="11" spans="1:288" ht="60" x14ac:dyDescent="0.25">
      <c r="A11" s="191" t="s">
        <v>227</v>
      </c>
      <c r="B11" s="192" t="s">
        <v>640</v>
      </c>
      <c r="C11" s="144" t="s">
        <v>228</v>
      </c>
      <c r="D11" s="193">
        <v>26712</v>
      </c>
      <c r="E11" s="193">
        <v>11016</v>
      </c>
      <c r="F11" s="193">
        <v>11016</v>
      </c>
      <c r="G11" s="533">
        <v>26712</v>
      </c>
      <c r="H11" s="533">
        <v>26712</v>
      </c>
      <c r="I11" s="194">
        <f>341.19+41.11+0.9</f>
        <v>383.2</v>
      </c>
      <c r="J11" s="194">
        <f>D11*I11</f>
        <v>10236038.4</v>
      </c>
      <c r="K11" s="194">
        <v>341.19</v>
      </c>
      <c r="L11" s="766">
        <f>G11*K11-29.31</f>
        <v>9113837.9700000007</v>
      </c>
      <c r="M11" s="194">
        <v>341.19</v>
      </c>
      <c r="N11" s="766">
        <f>H11*M11-29.31</f>
        <v>9113837.9700000007</v>
      </c>
      <c r="O11" s="195"/>
      <c r="P11" s="195"/>
      <c r="Q11" s="195"/>
      <c r="R11" s="797">
        <v>26712</v>
      </c>
      <c r="S11" s="197">
        <v>341.19</v>
      </c>
      <c r="T11" s="790">
        <f>S11*R11-29.31</f>
        <v>9113837.9700000007</v>
      </c>
      <c r="U11" s="195"/>
      <c r="V11" s="197">
        <f>341.19+41.11</f>
        <v>382.3</v>
      </c>
      <c r="W11" s="506">
        <f>V11*R11</f>
        <v>10211997.6</v>
      </c>
      <c r="X11" s="794">
        <f>X10/R17</f>
        <v>41.10774</v>
      </c>
      <c r="Y11" s="794"/>
      <c r="Z11" s="794"/>
      <c r="AA11" s="794"/>
      <c r="AB11" s="794"/>
      <c r="AC11" s="794"/>
      <c r="AD11" s="794"/>
      <c r="AE11" s="794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6">
        <v>11016</v>
      </c>
      <c r="AT11" s="197">
        <v>279.39999999999998</v>
      </c>
      <c r="AU11" s="506">
        <f t="shared" ref="AU11:AU16" si="0">AT11*AS11</f>
        <v>3077870.4</v>
      </c>
      <c r="AV11" s="195"/>
      <c r="AW11" s="196">
        <v>11017</v>
      </c>
      <c r="AX11" s="197">
        <f>279.4-0.04</f>
        <v>279.36</v>
      </c>
      <c r="AY11" s="506">
        <f>AW11*AX11</f>
        <v>3077709.12</v>
      </c>
      <c r="AZ11" s="195"/>
      <c r="BA11" s="196">
        <v>11018</v>
      </c>
      <c r="BB11" s="197">
        <f>279.4-0.05-0.02</f>
        <v>279.33</v>
      </c>
      <c r="BC11" s="506">
        <f>BA11*BB11</f>
        <v>3077657.94</v>
      </c>
      <c r="BD11" s="195"/>
      <c r="BE11" s="195"/>
      <c r="BF11" s="195"/>
      <c r="BG11" s="194">
        <f>AT11+$BH$9</f>
        <v>361.88</v>
      </c>
      <c r="BH11" s="204">
        <f>BG11*AS11</f>
        <v>3986470.08</v>
      </c>
      <c r="BI11" s="195"/>
      <c r="BJ11" s="194">
        <f>AX11+BK10</f>
        <v>221.28</v>
      </c>
      <c r="BK11" s="204">
        <f>BJ11*AW11</f>
        <v>2437841.7599999998</v>
      </c>
      <c r="BL11" s="195"/>
      <c r="BM11" s="194">
        <f>BB11+$BN$10</f>
        <v>177.03</v>
      </c>
      <c r="BN11" s="204">
        <f>BM11*BA11</f>
        <v>1950516.54</v>
      </c>
      <c r="BO11" s="176"/>
      <c r="BP11" s="195"/>
      <c r="BQ11" s="195"/>
      <c r="BR11" s="194">
        <f>AT11+$BH$9</f>
        <v>361.88</v>
      </c>
      <c r="BS11" s="204">
        <f>BR11*AS11</f>
        <v>3986470.08</v>
      </c>
      <c r="BT11" s="195"/>
      <c r="BU11" s="195"/>
      <c r="BV11" s="194">
        <f>AT11+$BH$9+$BW$10</f>
        <v>363.08</v>
      </c>
      <c r="BW11" s="204">
        <f>BV11*AS11</f>
        <v>3999689.28</v>
      </c>
      <c r="BX11" s="195"/>
      <c r="BY11" s="195"/>
      <c r="BZ11" s="194">
        <f>BV11+$CA$10</f>
        <v>371.45</v>
      </c>
      <c r="CA11" s="204">
        <f>BZ11*AS11</f>
        <v>4091893.2</v>
      </c>
      <c r="CB11" s="195"/>
      <c r="CC11" s="195"/>
      <c r="CD11" s="503">
        <f>11016+17568</f>
        <v>28584</v>
      </c>
      <c r="CE11" s="331">
        <f>279.4+48.07</f>
        <v>327.47000000000003</v>
      </c>
      <c r="CF11" s="198">
        <f t="shared" ref="CF11:CF16" si="1">CE11*CD11</f>
        <v>9360402.4800000004</v>
      </c>
      <c r="CG11" s="195"/>
      <c r="CH11" s="507">
        <f>11017+17569</f>
        <v>28586</v>
      </c>
      <c r="CI11" s="331">
        <f>279.4-0.04+9.65</f>
        <v>289.01</v>
      </c>
      <c r="CJ11" s="198">
        <f>CH11*CI11</f>
        <v>8261639.8600000003</v>
      </c>
      <c r="CK11" s="195"/>
      <c r="CL11" s="507">
        <f>11018+17570</f>
        <v>28588</v>
      </c>
      <c r="CM11" s="331">
        <f>279.4-0.05-0.02+9.65</f>
        <v>288.98</v>
      </c>
      <c r="CN11" s="198">
        <f>CL11*CM11</f>
        <v>8261360.2400000002</v>
      </c>
      <c r="CO11" s="195"/>
      <c r="CP11" s="195"/>
      <c r="CQ11" s="655">
        <f>CE11+$CR$10</f>
        <v>337.88</v>
      </c>
      <c r="CR11" s="198">
        <f>CQ11*CD11</f>
        <v>9657961.9199999999</v>
      </c>
      <c r="CS11" s="195"/>
      <c r="CT11" s="195"/>
      <c r="CU11" s="195"/>
      <c r="CV11" s="655">
        <f>CQ11+$CW$10</f>
        <v>329.76</v>
      </c>
      <c r="CW11" s="198">
        <f>CV11*CD11</f>
        <v>9425859.8399999999</v>
      </c>
      <c r="CX11" s="195"/>
      <c r="CY11" s="195"/>
      <c r="CZ11" s="196">
        <v>9720</v>
      </c>
      <c r="DA11" s="197">
        <v>266.89999999999998</v>
      </c>
      <c r="DB11" s="506">
        <f t="shared" ref="DB11:DB16" si="2">DA11*CZ11</f>
        <v>2594268</v>
      </c>
      <c r="DC11" s="195"/>
      <c r="DD11" s="195"/>
      <c r="DE11" s="329" t="s">
        <v>363</v>
      </c>
      <c r="DF11" s="330">
        <f>DJ11+DJ12+DJ13+DJ14</f>
        <v>17873470.350000001</v>
      </c>
      <c r="DG11" s="378">
        <v>266.89999999999998</v>
      </c>
      <c r="DH11" s="380">
        <f>DG11*CZ11</f>
        <v>2594268</v>
      </c>
      <c r="DI11" s="176"/>
      <c r="DJ11" s="204">
        <v>1733600</v>
      </c>
      <c r="DK11" s="513" t="s">
        <v>365</v>
      </c>
      <c r="DL11" s="195"/>
      <c r="DM11" s="195"/>
      <c r="DN11" s="329" t="s">
        <v>363</v>
      </c>
      <c r="DO11" s="330">
        <f>DR11+DR12+DR13+DR14</f>
        <v>22351690.350000001</v>
      </c>
      <c r="DP11" s="524">
        <f>$DG$11+69.8</f>
        <v>336.7</v>
      </c>
      <c r="DQ11" s="380">
        <f t="shared" ref="DQ11:DQ16" si="3">DP11*CZ11</f>
        <v>3272724</v>
      </c>
      <c r="DR11" s="204">
        <v>1733600</v>
      </c>
      <c r="DS11" s="513" t="s">
        <v>365</v>
      </c>
      <c r="DT11" s="195"/>
      <c r="DU11" s="195"/>
      <c r="DV11" s="524">
        <f>$DG$11+70.74</f>
        <v>337.64</v>
      </c>
      <c r="DW11" s="380">
        <f>DV11*CZ11</f>
        <v>3281860.8</v>
      </c>
      <c r="DX11" s="195"/>
      <c r="DY11" s="195"/>
      <c r="DZ11" s="195"/>
      <c r="EA11" s="329" t="s">
        <v>363</v>
      </c>
      <c r="EB11" s="330">
        <f>EE11+EE12+EE13+EE14</f>
        <v>24047729.91</v>
      </c>
      <c r="EC11" s="524">
        <f>$DG$11+70.74+25.8</f>
        <v>363.44</v>
      </c>
      <c r="ED11" s="380">
        <f>EC11*$CZ$11</f>
        <v>3532636.8</v>
      </c>
      <c r="EE11" s="204">
        <v>1733600</v>
      </c>
      <c r="EF11" s="513" t="s">
        <v>365</v>
      </c>
      <c r="EG11" s="188"/>
      <c r="EH11" s="188"/>
      <c r="EI11" s="188"/>
      <c r="EJ11" s="188"/>
      <c r="EK11" s="188"/>
      <c r="EL11" s="188"/>
      <c r="EM11" s="329" t="s">
        <v>363</v>
      </c>
      <c r="EN11" s="330">
        <f>EQ11+EQ12+EQ13+EQ14</f>
        <v>24104171.710000001</v>
      </c>
      <c r="EO11" s="524">
        <f>$DG$11+70.74+25.8+0.88</f>
        <v>364.32</v>
      </c>
      <c r="EP11" s="380">
        <f>EO11*$CZ$11</f>
        <v>3541190.4</v>
      </c>
      <c r="EQ11" s="204">
        <v>1790041.8</v>
      </c>
      <c r="ER11" s="513" t="s">
        <v>365</v>
      </c>
      <c r="ES11" s="215"/>
      <c r="ET11" s="176"/>
      <c r="EU11" s="188"/>
      <c r="EV11" s="188"/>
      <c r="EW11" s="188"/>
      <c r="EX11" s="329" t="s">
        <v>363</v>
      </c>
      <c r="EY11" s="330">
        <f>FB11+FB12+FB13+FB14</f>
        <v>24104171.710000001</v>
      </c>
      <c r="EZ11" s="524">
        <f>$DG$11+70.74+25.8+0.88</f>
        <v>364.32</v>
      </c>
      <c r="FA11" s="380">
        <f>EZ11*$CZ$11</f>
        <v>3541190.4</v>
      </c>
      <c r="FB11" s="204">
        <v>1790041.8</v>
      </c>
      <c r="FC11" s="513" t="s">
        <v>365</v>
      </c>
      <c r="FD11" s="215"/>
      <c r="FE11" s="176"/>
      <c r="FF11" s="188"/>
      <c r="FG11" s="188"/>
      <c r="FH11" s="188"/>
      <c r="FI11" s="188"/>
      <c r="FJ11" s="329" t="s">
        <v>363</v>
      </c>
      <c r="FK11" s="330">
        <f>FN11+FN12+FN13+FN14+0.06</f>
        <v>28972374.57</v>
      </c>
      <c r="FL11" s="524">
        <f>$DG$11+70.74+25.8+0.88+75.89</f>
        <v>440.21</v>
      </c>
      <c r="FM11" s="380">
        <f>FL11*$CZ$11</f>
        <v>4278841.2</v>
      </c>
      <c r="FN11" s="505">
        <v>1790041.8</v>
      </c>
      <c r="FO11" s="567" t="s">
        <v>365</v>
      </c>
      <c r="FP11" s="188"/>
      <c r="FQ11" s="188"/>
      <c r="FR11" s="188"/>
      <c r="FS11" s="188"/>
      <c r="FT11" s="188"/>
      <c r="FU11" s="188"/>
      <c r="FV11" s="188"/>
      <c r="FW11" s="600" t="s">
        <v>427</v>
      </c>
      <c r="FX11" s="597">
        <f>9720-4536</f>
        <v>5184</v>
      </c>
      <c r="FY11" s="583">
        <f>364.32+263.61</f>
        <v>627.92999999999995</v>
      </c>
      <c r="FZ11" s="504">
        <f t="shared" ref="FZ11:FZ16" si="4">FY11*FX11</f>
        <v>3255189.12</v>
      </c>
      <c r="GA11" s="331">
        <v>266.89999999999998</v>
      </c>
      <c r="GB11" s="592">
        <f>266.9+113.87</f>
        <v>380.77</v>
      </c>
      <c r="GC11" s="198">
        <f>GB11*FX11</f>
        <v>1973911.68</v>
      </c>
      <c r="GD11" s="176"/>
      <c r="GE11" s="176"/>
      <c r="GF11" s="176"/>
      <c r="GG11" s="176"/>
      <c r="GH11" s="472"/>
      <c r="GI11" s="176"/>
      <c r="GJ11" s="176"/>
      <c r="GK11" s="176"/>
      <c r="GL11" s="176"/>
      <c r="GM11" s="176"/>
      <c r="GN11" s="176"/>
      <c r="GO11" s="176"/>
      <c r="GP11" s="176"/>
      <c r="GQ11" s="176"/>
      <c r="GR11" s="176"/>
      <c r="GT11" s="215"/>
      <c r="GU11" s="176"/>
      <c r="GV11" s="188"/>
      <c r="GW11" s="188"/>
      <c r="GX11" s="188"/>
      <c r="GY11" s="325"/>
      <c r="GZ11" s="195"/>
      <c r="HA11" s="329" t="s">
        <v>281</v>
      </c>
      <c r="HB11" s="330">
        <v>32825669</v>
      </c>
      <c r="HC11" s="378">
        <f>GU11+$HC$9</f>
        <v>18.937999999999999</v>
      </c>
      <c r="HD11" s="379">
        <f>HC11*GT11</f>
        <v>0</v>
      </c>
      <c r="HE11" s="323"/>
      <c r="HF11" s="329" t="s">
        <v>281</v>
      </c>
      <c r="HG11" s="330">
        <v>32943694.59</v>
      </c>
      <c r="HH11" s="378">
        <f>HC11+$HH$9</f>
        <v>20.844999999999999</v>
      </c>
      <c r="HI11" s="380">
        <f>HH11*GT11</f>
        <v>0</v>
      </c>
      <c r="HJ11" s="176"/>
      <c r="HK11" s="329" t="s">
        <v>281</v>
      </c>
      <c r="HL11" s="330">
        <v>33542327.59</v>
      </c>
      <c r="HM11" s="378">
        <f>HH11+$HM$9</f>
        <v>30.518000000000001</v>
      </c>
      <c r="HN11" s="380">
        <f>HM11*GT11</f>
        <v>0</v>
      </c>
      <c r="HO11" s="323"/>
      <c r="HP11" s="323"/>
      <c r="HQ11" s="323"/>
      <c r="HR11" s="199">
        <v>347.23</v>
      </c>
      <c r="HS11" s="200">
        <v>3825102.07</v>
      </c>
      <c r="HT11" s="195"/>
      <c r="HU11" s="195"/>
      <c r="HV11" s="201">
        <f>33417035.12-4916897.38</f>
        <v>28500137.739999998</v>
      </c>
      <c r="HW11" s="202" t="e">
        <f t="shared" ref="HW11:HW15" si="5">HX11/HD11</f>
        <v>#DIV/0!</v>
      </c>
      <c r="HX11" s="203">
        <f>HS11+$HD$9+0.02</f>
        <v>3825102.09</v>
      </c>
      <c r="HY11" s="195"/>
      <c r="HZ11" s="201">
        <f>34422689.12-4916897.38</f>
        <v>29505791.739999998</v>
      </c>
      <c r="IA11" s="202" t="e">
        <f t="shared" ref="IA11:IA15" si="6">IB11/GT11</f>
        <v>#DIV/0!</v>
      </c>
      <c r="IB11" s="204">
        <f>HD11+$IB$9</f>
        <v>167609</v>
      </c>
      <c r="IC11" s="176"/>
      <c r="ID11" s="201">
        <f>34259407.28-4916897.38</f>
        <v>29342509.899999999</v>
      </c>
      <c r="IE11" s="202" t="e">
        <f t="shared" ref="IE11:IE15" si="7">IF11/GT11</f>
        <v>#DIV/0!</v>
      </c>
      <c r="IF11" s="204">
        <f>IB11+$IF$9</f>
        <v>140395.35999999999</v>
      </c>
      <c r="IG11" s="195"/>
      <c r="IH11" s="201">
        <f>II9-4916897.38</f>
        <v>29893262.899999999</v>
      </c>
      <c r="II11" s="202" t="e">
        <f t="shared" ref="II11:II15" si="8">IJ11/GT11</f>
        <v>#DIV/0!</v>
      </c>
      <c r="IJ11" s="205">
        <f>IF11+$IJ$9</f>
        <v>232187.53</v>
      </c>
      <c r="IK11" s="194" t="e">
        <f>II11-IE11</f>
        <v>#DIV/0!</v>
      </c>
      <c r="IL11" s="195" t="e">
        <f>IE11+IK11</f>
        <v>#DIV/0!</v>
      </c>
      <c r="IM11" s="201">
        <f>IN9-4916897.38</f>
        <v>31171016.899999999</v>
      </c>
      <c r="IN11" s="202" t="e">
        <f t="shared" ref="IN11:IN15" si="9">IO11/GT11</f>
        <v>#DIV/0!</v>
      </c>
      <c r="IO11" s="205">
        <f>IJ11+$IO$9</f>
        <v>445146.53</v>
      </c>
      <c r="IP11" s="194" t="e">
        <f>IN11-II11</f>
        <v>#DIV/0!</v>
      </c>
      <c r="IQ11" s="195" t="e">
        <f>II11+IP11</f>
        <v>#DIV/0!</v>
      </c>
      <c r="IR11" s="195"/>
      <c r="IS11" s="195"/>
      <c r="IT11" s="206">
        <f>IU9-4916897.38</f>
        <v>31766165.579999998</v>
      </c>
      <c r="IU11" s="202" t="e">
        <f t="shared" ref="IU11:IU15" si="10">IV11/GT11</f>
        <v>#DIV/0!</v>
      </c>
      <c r="IV11" s="205">
        <f>IO11+$IV$9</f>
        <v>544337.97</v>
      </c>
      <c r="IW11" s="194" t="e">
        <f>IU11-IP11</f>
        <v>#DIV/0!</v>
      </c>
      <c r="IX11" s="195" t="e">
        <f>IP11+IW11</f>
        <v>#DIV/0!</v>
      </c>
      <c r="IY11" s="195"/>
      <c r="IZ11" s="195"/>
      <c r="JA11" s="195"/>
      <c r="JB11" s="207">
        <v>221.75</v>
      </c>
      <c r="JC11" s="208">
        <v>21600</v>
      </c>
      <c r="JD11" s="209">
        <v>199</v>
      </c>
      <c r="JE11" s="210">
        <v>4298400</v>
      </c>
      <c r="JF11" s="209">
        <f t="shared" ref="JF11:JF16" si="11">JG11/JC11</f>
        <v>207.46</v>
      </c>
      <c r="JG11" s="210">
        <f t="shared" ref="JG11:JG16" si="12">JE11+$JG$9</f>
        <v>4481195.33</v>
      </c>
      <c r="JH11" s="209">
        <f t="shared" ref="JH11:JH16" si="13">JI11/JC11</f>
        <v>220.84</v>
      </c>
      <c r="JI11" s="210">
        <f>JG11+$JI$9</f>
        <v>4770106.33</v>
      </c>
      <c r="JJ11" s="209">
        <f t="shared" ref="JJ11:JJ16" si="14">JK11/JC11</f>
        <v>221.36</v>
      </c>
      <c r="JK11" s="210">
        <f>JI11+$JK$9</f>
        <v>4781473</v>
      </c>
      <c r="JL11" s="209">
        <f t="shared" ref="JL11:JL16" si="15">JM11/JC11</f>
        <v>221.75</v>
      </c>
      <c r="JM11" s="210">
        <f>JK11+$JM$9</f>
        <v>4789806.33</v>
      </c>
      <c r="JN11" s="210"/>
    </row>
    <row r="12" spans="1:288" ht="48" x14ac:dyDescent="0.25">
      <c r="A12" s="191" t="s">
        <v>227</v>
      </c>
      <c r="B12" s="192" t="s">
        <v>229</v>
      </c>
      <c r="C12" s="144" t="s">
        <v>228</v>
      </c>
      <c r="D12" s="193">
        <v>27504</v>
      </c>
      <c r="E12" s="193">
        <v>10620</v>
      </c>
      <c r="F12" s="193">
        <v>10620</v>
      </c>
      <c r="G12" s="533">
        <v>27504</v>
      </c>
      <c r="H12" s="533">
        <v>27504</v>
      </c>
      <c r="I12" s="194">
        <f>341.23+41.11+0.9</f>
        <v>383.24</v>
      </c>
      <c r="J12" s="194">
        <f t="shared" ref="J12:J16" si="16">D12*I12</f>
        <v>10540632.960000001</v>
      </c>
      <c r="K12" s="194">
        <v>341.23</v>
      </c>
      <c r="L12" s="194">
        <f t="shared" ref="L12:L16" si="17">G12*K12</f>
        <v>9385189.9199999999</v>
      </c>
      <c r="M12" s="194">
        <v>341.23</v>
      </c>
      <c r="N12" s="194">
        <f t="shared" ref="N12:N16" si="18">H12*M12</f>
        <v>9385189.9199999999</v>
      </c>
      <c r="O12" s="211"/>
      <c r="P12" s="211"/>
      <c r="Q12" s="211"/>
      <c r="R12" s="797">
        <v>27504</v>
      </c>
      <c r="S12" s="504">
        <v>341.23</v>
      </c>
      <c r="T12" s="506">
        <f t="shared" ref="T12:T16" si="19">S12*R12</f>
        <v>9385189.9199999999</v>
      </c>
      <c r="U12" s="211"/>
      <c r="V12" s="504">
        <f>341.23+41.11</f>
        <v>382.34</v>
      </c>
      <c r="W12" s="506">
        <f>V12*R12</f>
        <v>10515879.359999999</v>
      </c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196">
        <v>10620</v>
      </c>
      <c r="AT12" s="504">
        <v>279.41000000000003</v>
      </c>
      <c r="AU12" s="506">
        <f t="shared" si="0"/>
        <v>2967334.2</v>
      </c>
      <c r="AV12" s="211"/>
      <c r="AW12" s="196">
        <v>10621</v>
      </c>
      <c r="AX12" s="583">
        <f>279.41-0.02</f>
        <v>279.39</v>
      </c>
      <c r="AY12" s="506">
        <f t="shared" ref="AY12:AY16" si="20">AW12*AX12</f>
        <v>2967401.19</v>
      </c>
      <c r="AZ12" s="211"/>
      <c r="BA12" s="196">
        <v>10622</v>
      </c>
      <c r="BB12" s="583">
        <f>279.41-0.04</f>
        <v>279.37</v>
      </c>
      <c r="BC12" s="506">
        <f t="shared" ref="BC12:BC16" si="21">BA12*BB12</f>
        <v>2967468.14</v>
      </c>
      <c r="BD12" s="211"/>
      <c r="BE12" s="211"/>
      <c r="BF12" s="211"/>
      <c r="BG12" s="194">
        <f t="shared" ref="BG12:BG16" si="22">AT12+$BH$9</f>
        <v>361.89</v>
      </c>
      <c r="BH12" s="204">
        <f t="shared" ref="BH12:BH16" si="23">BG12*AS12</f>
        <v>3843271.8</v>
      </c>
      <c r="BI12" s="211"/>
      <c r="BJ12" s="194">
        <f>AX12+BK10</f>
        <v>221.31</v>
      </c>
      <c r="BK12" s="204">
        <f t="shared" ref="BK12:BK16" si="24">BJ12*AW12</f>
        <v>2350533.5099999998</v>
      </c>
      <c r="BL12" s="211"/>
      <c r="BM12" s="194">
        <f t="shared" ref="BM12:BM16" si="25">BB12+$BN$10</f>
        <v>177.07</v>
      </c>
      <c r="BN12" s="204">
        <f t="shared" ref="BN12:BN16" si="26">BM12*BA12</f>
        <v>1880837.54</v>
      </c>
      <c r="BO12" s="176"/>
      <c r="BP12" s="211"/>
      <c r="BQ12" s="211"/>
      <c r="BR12" s="194">
        <f t="shared" ref="BR12:BR16" si="27">AT12+$BH$9</f>
        <v>361.89</v>
      </c>
      <c r="BS12" s="204">
        <f t="shared" ref="BS12:BS16" si="28">BR12*AS12</f>
        <v>3843271.8</v>
      </c>
      <c r="BT12" s="211"/>
      <c r="BU12" s="211"/>
      <c r="BV12" s="194">
        <f>AT12+$BH$9+$BW$10</f>
        <v>363.09</v>
      </c>
      <c r="BW12" s="204">
        <f t="shared" ref="BW12:BW16" si="29">BV12*AS12</f>
        <v>3856015.8</v>
      </c>
      <c r="BX12" s="211"/>
      <c r="BY12" s="211"/>
      <c r="BZ12" s="194">
        <f t="shared" ref="BZ12:BZ16" si="30">BV12+$CA$10</f>
        <v>371.46</v>
      </c>
      <c r="CA12" s="204">
        <f t="shared" ref="CA12:CA16" si="31">BZ12*AS12</f>
        <v>3944905.2</v>
      </c>
      <c r="CB12" s="211"/>
      <c r="CC12" s="211"/>
      <c r="CD12" s="503">
        <f>10620+17784</f>
        <v>28404</v>
      </c>
      <c r="CE12" s="505">
        <f>279.41+48.07</f>
        <v>327.48</v>
      </c>
      <c r="CF12" s="198">
        <f t="shared" si="1"/>
        <v>9301741.9199999999</v>
      </c>
      <c r="CG12" s="211"/>
      <c r="CH12" s="507">
        <f>10621+17785</f>
        <v>28406</v>
      </c>
      <c r="CI12" s="655">
        <f>279.41-0.02+9.65</f>
        <v>289.04000000000002</v>
      </c>
      <c r="CJ12" s="198">
        <f t="shared" ref="CJ12:CJ16" si="32">CH12*CI12</f>
        <v>8210470.2400000002</v>
      </c>
      <c r="CK12" s="211"/>
      <c r="CL12" s="507">
        <f>10622+17786</f>
        <v>28408</v>
      </c>
      <c r="CM12" s="655">
        <f>279.41-0.04+9.65</f>
        <v>289.02</v>
      </c>
      <c r="CN12" s="198">
        <f t="shared" ref="CN12:CN16" si="33">CL12*CM12</f>
        <v>8210480.1600000001</v>
      </c>
      <c r="CO12" s="211"/>
      <c r="CP12" s="211"/>
      <c r="CQ12" s="655">
        <f t="shared" ref="CQ12:CQ16" si="34">CE12+$CR$10</f>
        <v>337.89</v>
      </c>
      <c r="CR12" s="198">
        <f t="shared" ref="CR12:CR16" si="35">CQ12*CD12</f>
        <v>9597427.5600000005</v>
      </c>
      <c r="CS12" s="211"/>
      <c r="CT12" s="211"/>
      <c r="CU12" s="211"/>
      <c r="CV12" s="655">
        <f>CQ12+$CW$10</f>
        <v>329.77</v>
      </c>
      <c r="CW12" s="198">
        <f t="shared" ref="CW12:CW16" si="36">CV12*CD12</f>
        <v>9366787.0800000001</v>
      </c>
      <c r="CX12" s="211"/>
      <c r="CY12" s="211"/>
      <c r="CZ12" s="196">
        <v>9468</v>
      </c>
      <c r="DA12" s="504">
        <v>266.93</v>
      </c>
      <c r="DB12" s="506">
        <f t="shared" si="2"/>
        <v>2527293.2400000002</v>
      </c>
      <c r="DC12" s="176"/>
      <c r="DD12" s="176"/>
      <c r="DE12" s="329" t="s">
        <v>367</v>
      </c>
      <c r="DF12" s="330">
        <v>763350.6</v>
      </c>
      <c r="DG12" s="378">
        <v>266.93</v>
      </c>
      <c r="DH12" s="380">
        <f t="shared" ref="DH12:DH16" si="37">DG12*CZ12</f>
        <v>2527293.2400000002</v>
      </c>
      <c r="DI12" s="176"/>
      <c r="DJ12" s="204">
        <v>3665300</v>
      </c>
      <c r="DK12" s="513" t="s">
        <v>364</v>
      </c>
      <c r="DL12" s="176"/>
      <c r="DM12" s="176"/>
      <c r="DN12" s="329" t="s">
        <v>367</v>
      </c>
      <c r="DO12" s="330">
        <v>763350.6</v>
      </c>
      <c r="DP12" s="523">
        <f>$DG$12+69.79416</f>
        <v>336.72415999999998</v>
      </c>
      <c r="DQ12" s="380">
        <f t="shared" si="3"/>
        <v>3188104.35</v>
      </c>
      <c r="DR12" s="204">
        <v>3824352</v>
      </c>
      <c r="DS12" s="204" t="s">
        <v>364</v>
      </c>
      <c r="DT12" s="176"/>
      <c r="DU12" s="176"/>
      <c r="DV12" s="532">
        <f>$DG$12+70.735832</f>
        <v>337.66583200000002</v>
      </c>
      <c r="DW12" s="380">
        <f t="shared" ref="DW12:DW16" si="38">DV12*CZ12</f>
        <v>3197020.1</v>
      </c>
      <c r="DX12" s="176"/>
      <c r="DY12" s="211"/>
      <c r="DZ12" s="211"/>
      <c r="EA12" s="332" t="s">
        <v>367</v>
      </c>
      <c r="EB12" s="333">
        <v>763350.6</v>
      </c>
      <c r="EC12" s="532">
        <f>$DG$12+70.735832+23.796709</f>
        <v>361.46254099999999</v>
      </c>
      <c r="ED12" s="380">
        <f>EC12*$CZ$12</f>
        <v>3422327.34</v>
      </c>
      <c r="EE12" s="204">
        <v>3824352</v>
      </c>
      <c r="EF12" s="204" t="s">
        <v>364</v>
      </c>
      <c r="EG12" s="176"/>
      <c r="EH12" s="176"/>
      <c r="EI12" s="176"/>
      <c r="EJ12" s="176"/>
      <c r="EK12" s="176"/>
      <c r="EL12" s="176"/>
      <c r="EM12" s="332" t="s">
        <v>367</v>
      </c>
      <c r="EN12" s="333">
        <v>763366.65</v>
      </c>
      <c r="EO12" s="532">
        <f>$DG$12+70.735832+23.796709+0.878737</f>
        <v>362.34127799999999</v>
      </c>
      <c r="EP12" s="380">
        <f>EO12*$CZ$12</f>
        <v>3430647.22</v>
      </c>
      <c r="EQ12" s="204">
        <v>3824352</v>
      </c>
      <c r="ER12" s="204" t="s">
        <v>364</v>
      </c>
      <c r="ES12" s="552"/>
      <c r="ET12" s="176"/>
      <c r="EU12" s="176"/>
      <c r="EV12" s="176"/>
      <c r="EW12" s="176"/>
      <c r="EX12" s="332" t="s">
        <v>367</v>
      </c>
      <c r="EY12" s="333">
        <v>763366.65</v>
      </c>
      <c r="EZ12" s="532">
        <f>$DG$12+70.735832+23.796709+0.878737</f>
        <v>362.34127799999999</v>
      </c>
      <c r="FA12" s="380">
        <f>EZ12*$CZ$12</f>
        <v>3430647.22</v>
      </c>
      <c r="FB12" s="204">
        <v>3824352</v>
      </c>
      <c r="FC12" s="204" t="s">
        <v>364</v>
      </c>
      <c r="FD12" s="552"/>
      <c r="FE12" s="176"/>
      <c r="FF12" s="176"/>
      <c r="FG12" s="176"/>
      <c r="FH12" s="176"/>
      <c r="FI12" s="176"/>
      <c r="FJ12" s="332" t="s">
        <v>367</v>
      </c>
      <c r="FK12" s="333">
        <v>763366.65</v>
      </c>
      <c r="FL12" s="576">
        <f>$DG$12+70.735832+23.796709+0.878737+75.892879</f>
        <v>438.23415699999998</v>
      </c>
      <c r="FM12" s="380">
        <f>FL12*$CZ$12</f>
        <v>4149201</v>
      </c>
      <c r="FN12" s="505">
        <v>3824352</v>
      </c>
      <c r="FO12" s="505" t="s">
        <v>364</v>
      </c>
      <c r="FP12" s="176"/>
      <c r="FQ12" s="176"/>
      <c r="FR12" s="176"/>
      <c r="FS12" s="176"/>
      <c r="FT12" s="176"/>
      <c r="FU12" s="176"/>
      <c r="FV12" s="176"/>
      <c r="FW12" s="600" t="s">
        <v>321</v>
      </c>
      <c r="FX12" s="597">
        <f>9468-3276</f>
        <v>6192</v>
      </c>
      <c r="FY12" s="581">
        <f>362.34+263.61</f>
        <v>625.95000000000005</v>
      </c>
      <c r="FZ12" s="504">
        <f t="shared" si="4"/>
        <v>3875882.4</v>
      </c>
      <c r="GA12" s="331">
        <f>266.93</f>
        <v>266.93</v>
      </c>
      <c r="GB12" s="592">
        <f>266.93+113.87</f>
        <v>380.8</v>
      </c>
      <c r="GC12" s="198">
        <f t="shared" ref="GC12:GC16" si="39">GB12*FX12</f>
        <v>2357913.6000000001</v>
      </c>
      <c r="GD12" s="176"/>
      <c r="GE12" s="176"/>
      <c r="GF12" s="176"/>
      <c r="GG12" s="176"/>
      <c r="GH12" s="472"/>
      <c r="GI12" s="176"/>
      <c r="GJ12" s="176"/>
      <c r="GK12" s="176"/>
      <c r="GL12" s="176"/>
      <c r="GM12" s="176"/>
      <c r="GN12" s="176"/>
      <c r="GO12" s="176"/>
      <c r="GP12" s="176"/>
      <c r="GQ12" s="176"/>
      <c r="GR12" s="176"/>
      <c r="GT12" s="552"/>
      <c r="GU12" s="176"/>
      <c r="GV12" s="176"/>
      <c r="GW12" s="176"/>
      <c r="GX12" s="176"/>
      <c r="GY12" s="325"/>
      <c r="GZ12" s="211"/>
      <c r="HA12" s="329" t="s">
        <v>280</v>
      </c>
      <c r="HB12" s="330">
        <v>8330911.2800000003</v>
      </c>
      <c r="HC12" s="378">
        <f t="shared" ref="HC12:HC16" si="40">GU12+$HC$9</f>
        <v>18.937999999999999</v>
      </c>
      <c r="HD12" s="379">
        <f t="shared" ref="HD12:HD16" si="41">HC12*GT12</f>
        <v>0</v>
      </c>
      <c r="HE12" s="176"/>
      <c r="HF12" s="329" t="s">
        <v>280</v>
      </c>
      <c r="HG12" s="330">
        <v>8330911.2800000003</v>
      </c>
      <c r="HH12" s="378">
        <f t="shared" ref="HH12:HH16" si="42">HC12+$HH$9</f>
        <v>20.844999999999999</v>
      </c>
      <c r="HI12" s="380">
        <f t="shared" ref="HI12:HI16" si="43">HH12*GT12</f>
        <v>0</v>
      </c>
      <c r="HJ12" s="176"/>
      <c r="HK12" s="329" t="s">
        <v>280</v>
      </c>
      <c r="HL12" s="330">
        <v>8330911.2800000003</v>
      </c>
      <c r="HM12" s="378">
        <f t="shared" ref="HM12:HM16" si="44">HH12+$HM$9</f>
        <v>30.518000000000001</v>
      </c>
      <c r="HN12" s="380">
        <f t="shared" ref="HN12:HN16" si="45">HM12*GT12</f>
        <v>0</v>
      </c>
      <c r="HO12" s="176"/>
      <c r="HP12" s="176"/>
      <c r="HQ12" s="176"/>
      <c r="HR12" s="199">
        <v>407.31</v>
      </c>
      <c r="HS12" s="212">
        <v>2903279.32</v>
      </c>
      <c r="HT12" s="211"/>
      <c r="HU12" s="211"/>
      <c r="HV12" s="213" t="e">
        <f>(HV11-#REF!)/6</f>
        <v>#REF!</v>
      </c>
      <c r="HW12" s="202" t="e">
        <f t="shared" si="5"/>
        <v>#DIV/0!</v>
      </c>
      <c r="HX12" s="204">
        <f t="shared" ref="HX12:HX15" si="46">HS12+$HD$9</f>
        <v>2903279.32</v>
      </c>
      <c r="HY12" s="211"/>
      <c r="HZ12" s="213">
        <f>(HZ11-HB13)/6</f>
        <v>835172.34</v>
      </c>
      <c r="IA12" s="202" t="e">
        <f t="shared" si="6"/>
        <v>#DIV/0!</v>
      </c>
      <c r="IB12" s="204">
        <f>HD12+$IB$9</f>
        <v>167609</v>
      </c>
      <c r="IC12" s="176"/>
      <c r="ID12" s="213">
        <f>(ID11-HZ11)/6</f>
        <v>-27213.64</v>
      </c>
      <c r="IE12" s="202" t="e">
        <f t="shared" si="7"/>
        <v>#DIV/0!</v>
      </c>
      <c r="IF12" s="204">
        <f t="shared" ref="IF12:IF15" si="47">IB12+$IF$9</f>
        <v>140395.35999999999</v>
      </c>
      <c r="IG12" s="211"/>
      <c r="IH12" s="213">
        <f>(IH11-ID11)/6</f>
        <v>91792.17</v>
      </c>
      <c r="II12" s="202" t="e">
        <f t="shared" si="8"/>
        <v>#DIV/0!</v>
      </c>
      <c r="IJ12" s="205">
        <f t="shared" ref="IJ12:IJ15" si="48">IF12+$IJ$9</f>
        <v>232187.53</v>
      </c>
      <c r="IK12" s="194" t="e">
        <f t="shared" ref="IK12:IK15" si="49">II12-IE12</f>
        <v>#DIV/0!</v>
      </c>
      <c r="IL12" s="211"/>
      <c r="IM12" s="213">
        <f>(IM11-IH11)/6</f>
        <v>212959</v>
      </c>
      <c r="IN12" s="202" t="e">
        <f t="shared" si="9"/>
        <v>#DIV/0!</v>
      </c>
      <c r="IO12" s="205">
        <f t="shared" ref="IO12:IO15" si="50">IJ12+$IO$9</f>
        <v>445146.53</v>
      </c>
      <c r="IP12" s="194" t="e">
        <f t="shared" ref="IP12:IP15" si="51">IN12-II12</f>
        <v>#DIV/0!</v>
      </c>
      <c r="IQ12" s="211"/>
      <c r="IR12" s="211"/>
      <c r="IS12" s="211"/>
      <c r="IT12" s="214">
        <f>(IT11-IM11)/6</f>
        <v>99191.4467</v>
      </c>
      <c r="IU12" s="202" t="e">
        <f t="shared" si="10"/>
        <v>#DIV/0!</v>
      </c>
      <c r="IV12" s="205">
        <f t="shared" ref="IV12:IV15" si="52">IO12+$IV$9</f>
        <v>544337.97</v>
      </c>
      <c r="IW12" s="194" t="e">
        <f t="shared" ref="IW12:IW15" si="53">IU12-IP12</f>
        <v>#DIV/0!</v>
      </c>
      <c r="IX12" s="211"/>
      <c r="IY12" s="211"/>
      <c r="IZ12" s="211"/>
      <c r="JA12" s="211"/>
      <c r="JB12" s="207">
        <v>229.88</v>
      </c>
      <c r="JC12" s="208">
        <v>15696</v>
      </c>
      <c r="JD12" s="209">
        <v>198.58</v>
      </c>
      <c r="JE12" s="210">
        <v>3116836.4</v>
      </c>
      <c r="JF12" s="209">
        <f t="shared" si="11"/>
        <v>210.22</v>
      </c>
      <c r="JG12" s="210">
        <f t="shared" si="12"/>
        <v>3299631.73</v>
      </c>
      <c r="JH12" s="209">
        <f t="shared" si="13"/>
        <v>228.63</v>
      </c>
      <c r="JI12" s="210">
        <f t="shared" ref="JI12:JI16" si="54">JG12+$JI$9</f>
        <v>3588542.73</v>
      </c>
      <c r="JJ12" s="209">
        <f t="shared" si="14"/>
        <v>229.35</v>
      </c>
      <c r="JK12" s="210">
        <f t="shared" ref="JK12:JK16" si="55">JI12+$JK$9</f>
        <v>3599909.4</v>
      </c>
      <c r="JL12" s="209">
        <f t="shared" si="15"/>
        <v>229.88</v>
      </c>
      <c r="JM12" s="210">
        <f t="shared" ref="JM12:JM16" si="56">JK12+$JM$9</f>
        <v>3608242.73</v>
      </c>
      <c r="JN12" s="210"/>
    </row>
    <row r="13" spans="1:288" ht="60" x14ac:dyDescent="0.25">
      <c r="A13" s="191" t="s">
        <v>227</v>
      </c>
      <c r="B13" s="192" t="s">
        <v>638</v>
      </c>
      <c r="C13" s="144" t="s">
        <v>228</v>
      </c>
      <c r="D13" s="193">
        <v>11376</v>
      </c>
      <c r="E13" s="193">
        <v>10080</v>
      </c>
      <c r="F13" s="193">
        <v>10080</v>
      </c>
      <c r="G13" s="533">
        <v>11376</v>
      </c>
      <c r="H13" s="533">
        <v>11376</v>
      </c>
      <c r="I13" s="766">
        <f>341.18+41.11+0.0236662+0.972996</f>
        <v>383.29</v>
      </c>
      <c r="J13" s="766">
        <f>D13*I13-37.97082</f>
        <v>4360269.07</v>
      </c>
      <c r="K13" s="766">
        <f>341.18-0.003516</f>
        <v>341.18</v>
      </c>
      <c r="L13" s="766">
        <f>G13*K13-13.37-40</f>
        <v>3881210.31</v>
      </c>
      <c r="M13" s="766">
        <f>341.18-0.003516</f>
        <v>341.18</v>
      </c>
      <c r="N13" s="766">
        <f>H13*M13-13.37-40</f>
        <v>3881210.31</v>
      </c>
      <c r="O13" s="211"/>
      <c r="P13" s="211"/>
      <c r="Q13" s="211"/>
      <c r="R13" s="797">
        <v>11376</v>
      </c>
      <c r="S13" s="504">
        <v>341.18</v>
      </c>
      <c r="T13" s="790">
        <f>S13*R13-13.37</f>
        <v>3881250.31</v>
      </c>
      <c r="U13" s="211"/>
      <c r="V13" s="800">
        <f>341.18+41.11+0.0236662</f>
        <v>382.31</v>
      </c>
      <c r="W13" s="506">
        <f t="shared" ref="W13:W16" si="57">V13*R13</f>
        <v>4349158.5599999996</v>
      </c>
      <c r="X13" s="211"/>
      <c r="Y13" s="211"/>
      <c r="Z13" s="211"/>
      <c r="AA13" s="211"/>
      <c r="AB13" s="820"/>
      <c r="AC13" s="211"/>
      <c r="AD13" s="211"/>
      <c r="AE13" s="211"/>
      <c r="AF13" s="799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196">
        <v>10080</v>
      </c>
      <c r="AT13" s="504">
        <v>279.39</v>
      </c>
      <c r="AU13" s="506">
        <f t="shared" si="0"/>
        <v>2816251.2</v>
      </c>
      <c r="AV13" s="211"/>
      <c r="AW13" s="196">
        <v>10080</v>
      </c>
      <c r="AX13" s="583">
        <f>279.39</f>
        <v>279.39</v>
      </c>
      <c r="AY13" s="506">
        <f t="shared" si="20"/>
        <v>2816251.2</v>
      </c>
      <c r="AZ13" s="211"/>
      <c r="BA13" s="196">
        <v>10080</v>
      </c>
      <c r="BB13" s="583">
        <v>279.39</v>
      </c>
      <c r="BC13" s="506">
        <f t="shared" si="21"/>
        <v>2816251.2</v>
      </c>
      <c r="BD13" s="211"/>
      <c r="BE13" s="211"/>
      <c r="BF13" s="211"/>
      <c r="BG13" s="194">
        <f t="shared" si="22"/>
        <v>361.87</v>
      </c>
      <c r="BH13" s="204">
        <f t="shared" si="23"/>
        <v>3647649.6</v>
      </c>
      <c r="BI13" s="211"/>
      <c r="BJ13" s="194">
        <f>AX13+BK10</f>
        <v>221.31</v>
      </c>
      <c r="BK13" s="204">
        <f t="shared" si="24"/>
        <v>2230804.7999999998</v>
      </c>
      <c r="BL13" s="211"/>
      <c r="BM13" s="194">
        <f t="shared" si="25"/>
        <v>177.09</v>
      </c>
      <c r="BN13" s="204">
        <f t="shared" si="26"/>
        <v>1785067.2</v>
      </c>
      <c r="BO13" s="176"/>
      <c r="BP13" s="211"/>
      <c r="BQ13" s="211"/>
      <c r="BR13" s="194">
        <f t="shared" si="27"/>
        <v>361.87</v>
      </c>
      <c r="BS13" s="204">
        <f t="shared" si="28"/>
        <v>3647649.6</v>
      </c>
      <c r="BT13" s="211"/>
      <c r="BU13" s="211"/>
      <c r="BV13" s="194">
        <f t="shared" ref="BV13:BV16" si="58">AT13+$BH$9+$BW$10</f>
        <v>363.07</v>
      </c>
      <c r="BW13" s="204">
        <f t="shared" si="29"/>
        <v>3659745.6</v>
      </c>
      <c r="BX13" s="211"/>
      <c r="BY13" s="211"/>
      <c r="BZ13" s="194">
        <f t="shared" si="30"/>
        <v>371.44</v>
      </c>
      <c r="CA13" s="204">
        <f t="shared" si="31"/>
        <v>3744115.2</v>
      </c>
      <c r="CB13" s="211"/>
      <c r="CC13" s="211"/>
      <c r="CD13" s="503">
        <f>10080+2700</f>
        <v>12780</v>
      </c>
      <c r="CE13" s="505">
        <f>279.39+48.07</f>
        <v>327.45999999999998</v>
      </c>
      <c r="CF13" s="198">
        <f t="shared" si="1"/>
        <v>4184938.8</v>
      </c>
      <c r="CG13" s="211"/>
      <c r="CH13" s="507">
        <f>10080+2701</f>
        <v>12781</v>
      </c>
      <c r="CI13" s="655">
        <f>279.39+9.64</f>
        <v>289.02999999999997</v>
      </c>
      <c r="CJ13" s="198">
        <f t="shared" si="32"/>
        <v>3694092.43</v>
      </c>
      <c r="CK13" s="211"/>
      <c r="CL13" s="507">
        <f>10080+2702</f>
        <v>12782</v>
      </c>
      <c r="CM13" s="655">
        <f>279.39+9.65</f>
        <v>289.04000000000002</v>
      </c>
      <c r="CN13" s="198">
        <f t="shared" si="33"/>
        <v>3694509.28</v>
      </c>
      <c r="CO13" s="211"/>
      <c r="CP13" s="211"/>
      <c r="CQ13" s="655">
        <f t="shared" si="34"/>
        <v>337.87</v>
      </c>
      <c r="CR13" s="198">
        <f t="shared" si="35"/>
        <v>4317978.5999999996</v>
      </c>
      <c r="CS13" s="211"/>
      <c r="CT13" s="211"/>
      <c r="CU13" s="211"/>
      <c r="CV13" s="655">
        <f t="shared" ref="CV13:CV16" si="59">CQ13+$CW$10</f>
        <v>329.75</v>
      </c>
      <c r="CW13" s="198">
        <f t="shared" si="36"/>
        <v>4214205</v>
      </c>
      <c r="CX13" s="211"/>
      <c r="CY13" s="211"/>
      <c r="CZ13" s="196">
        <v>10080</v>
      </c>
      <c r="DA13" s="504">
        <v>266.58</v>
      </c>
      <c r="DB13" s="506">
        <f t="shared" si="2"/>
        <v>2687126.4</v>
      </c>
      <c r="DC13" s="176"/>
      <c r="DD13" s="176"/>
      <c r="DE13" s="329" t="s">
        <v>368</v>
      </c>
      <c r="DF13" s="331">
        <f>DF11-DF12</f>
        <v>17110119.75</v>
      </c>
      <c r="DG13" s="378">
        <v>266.58</v>
      </c>
      <c r="DH13" s="380">
        <f t="shared" si="37"/>
        <v>2687126.4</v>
      </c>
      <c r="DI13" s="176"/>
      <c r="DJ13" s="204">
        <v>10361400</v>
      </c>
      <c r="DK13" s="513" t="s">
        <v>366</v>
      </c>
      <c r="DL13" s="176">
        <f>DJ11+DJ12+DJ13</f>
        <v>15760300</v>
      </c>
      <c r="DM13" s="176">
        <f>DO13-DF13</f>
        <v>4478220</v>
      </c>
      <c r="DN13" s="329" t="s">
        <v>368</v>
      </c>
      <c r="DO13" s="331">
        <f>DO11-DO12</f>
        <v>21588339.75</v>
      </c>
      <c r="DP13" s="524">
        <f>$DG$13+69.81</f>
        <v>336.39</v>
      </c>
      <c r="DQ13" s="380">
        <f t="shared" si="3"/>
        <v>3390811.2</v>
      </c>
      <c r="DR13" s="204">
        <v>14680568</v>
      </c>
      <c r="DS13" s="513" t="s">
        <v>366</v>
      </c>
      <c r="DT13" s="176">
        <f>DR11+DR12+DR13</f>
        <v>20238520</v>
      </c>
      <c r="DU13" s="176" t="s">
        <v>377</v>
      </c>
      <c r="DV13" s="524">
        <f>$DG$13+70.74</f>
        <v>337.32</v>
      </c>
      <c r="DW13" s="380">
        <f t="shared" si="38"/>
        <v>3400185.6</v>
      </c>
      <c r="DX13" s="176"/>
      <c r="DY13" s="211"/>
      <c r="DZ13" s="211"/>
      <c r="EA13" s="332" t="s">
        <v>368</v>
      </c>
      <c r="EB13" s="538">
        <f>EB11-EB12</f>
        <v>23284379.309999999</v>
      </c>
      <c r="EC13" s="524">
        <f>$DG$13+70.74+25.8</f>
        <v>363.12</v>
      </c>
      <c r="ED13" s="380">
        <f>EC13*$CZ$13</f>
        <v>3660249.6</v>
      </c>
      <c r="EE13" s="204">
        <f>14680568+1562388</f>
        <v>16242956</v>
      </c>
      <c r="EF13" s="513" t="s">
        <v>366</v>
      </c>
      <c r="EG13" s="215">
        <f>EE11+EE12+EE13</f>
        <v>21800908</v>
      </c>
      <c r="EH13" s="188"/>
      <c r="EI13" s="188"/>
      <c r="EJ13" s="188"/>
      <c r="EK13" s="188"/>
      <c r="EL13" s="188"/>
      <c r="EM13" s="332" t="s">
        <v>368</v>
      </c>
      <c r="EN13" s="538">
        <f>EN11-EN12</f>
        <v>23340805.059999999</v>
      </c>
      <c r="EO13" s="524">
        <f>$DG$13+70.74+25.8+0.88</f>
        <v>364</v>
      </c>
      <c r="EP13" s="380">
        <f>EO13*$CZ$13</f>
        <v>3669120</v>
      </c>
      <c r="EQ13" s="204">
        <f>14680568+1562388</f>
        <v>16242956</v>
      </c>
      <c r="ER13" s="513" t="s">
        <v>366</v>
      </c>
      <c r="ES13" s="215">
        <f>EQ11+EQ12+EQ13</f>
        <v>21857349.800000001</v>
      </c>
      <c r="ET13" s="176"/>
      <c r="EU13" s="188"/>
      <c r="EV13" s="188"/>
      <c r="EW13" s="188"/>
      <c r="EX13" s="332" t="s">
        <v>368</v>
      </c>
      <c r="EY13" s="538">
        <f>EY11-EY12</f>
        <v>23340805.059999999</v>
      </c>
      <c r="EZ13" s="524">
        <f>$DG$13+70.74+25.8+0.88</f>
        <v>364</v>
      </c>
      <c r="FA13" s="380">
        <f>EZ13*$CZ$13</f>
        <v>3669120</v>
      </c>
      <c r="FB13" s="204">
        <f>14680568+1562388</f>
        <v>16242956</v>
      </c>
      <c r="FC13" s="513" t="s">
        <v>366</v>
      </c>
      <c r="FD13" s="215">
        <f>FB11+FB12+FB13</f>
        <v>21857349.800000001</v>
      </c>
      <c r="FE13" s="176"/>
      <c r="FF13" s="188"/>
      <c r="FG13" s="188"/>
      <c r="FH13" s="188"/>
      <c r="FI13" s="188"/>
      <c r="FJ13" s="332" t="s">
        <v>368</v>
      </c>
      <c r="FK13" s="538">
        <f>FK11-FK12</f>
        <v>28209007.920000002</v>
      </c>
      <c r="FL13" s="524">
        <f>$DG$13+70.74+25.8+0.88+75.89</f>
        <v>439.89</v>
      </c>
      <c r="FM13" s="380">
        <f>FL13*$CZ$13</f>
        <v>4434091.2</v>
      </c>
      <c r="FN13" s="505">
        <f>14680568+1562388+4868202.8</f>
        <v>21111158.800000001</v>
      </c>
      <c r="FO13" s="567" t="s">
        <v>366</v>
      </c>
      <c r="FP13" s="188"/>
      <c r="FQ13" s="188"/>
      <c r="FR13" s="188"/>
      <c r="FS13" s="188"/>
      <c r="FT13" s="188"/>
      <c r="FU13" s="188"/>
      <c r="FV13" s="188"/>
      <c r="FW13" s="600" t="s">
        <v>428</v>
      </c>
      <c r="FX13" s="597">
        <f>10080-5984</f>
        <v>4096</v>
      </c>
      <c r="FY13" s="504">
        <f>364+263.61</f>
        <v>627.61</v>
      </c>
      <c r="FZ13" s="504">
        <f t="shared" si="4"/>
        <v>2570690.5600000001</v>
      </c>
      <c r="GA13" s="331">
        <f>266.58</f>
        <v>266.58</v>
      </c>
      <c r="GB13" s="593">
        <f>266.58+113.875313</f>
        <v>380.45531299999999</v>
      </c>
      <c r="GC13" s="198">
        <f t="shared" si="39"/>
        <v>1558344.96</v>
      </c>
      <c r="GD13" s="176"/>
      <c r="GE13" s="176"/>
      <c r="GF13" s="176"/>
      <c r="GG13" s="176"/>
      <c r="GH13" s="176"/>
      <c r="GI13" s="176"/>
      <c r="GJ13" s="176"/>
      <c r="GK13" s="176"/>
      <c r="GL13" s="176"/>
      <c r="GM13" s="176"/>
      <c r="GN13" s="176"/>
      <c r="GO13" s="176"/>
      <c r="GP13" s="176"/>
      <c r="GQ13" s="176"/>
      <c r="GR13" s="176"/>
      <c r="GT13" s="215">
        <f>FN11+FN12+FN13</f>
        <v>26725552.600000001</v>
      </c>
      <c r="GU13" s="176"/>
      <c r="GV13" s="188"/>
      <c r="GW13" s="188"/>
      <c r="GX13" s="188"/>
      <c r="GY13" s="325"/>
      <c r="GZ13" s="211"/>
      <c r="HA13" s="329" t="s">
        <v>279</v>
      </c>
      <c r="HB13" s="331">
        <f>HB11-HB12</f>
        <v>24494757.719999999</v>
      </c>
      <c r="HC13" s="378">
        <f t="shared" si="40"/>
        <v>18.937999999999999</v>
      </c>
      <c r="HD13" s="379">
        <f t="shared" si="41"/>
        <v>506128515.13999999</v>
      </c>
      <c r="HE13" s="176"/>
      <c r="HF13" s="329" t="s">
        <v>279</v>
      </c>
      <c r="HG13" s="331">
        <f>HG11-HG12</f>
        <v>24612783.309999999</v>
      </c>
      <c r="HH13" s="378">
        <f t="shared" si="42"/>
        <v>20.844999999999999</v>
      </c>
      <c r="HI13" s="380">
        <f t="shared" si="43"/>
        <v>557094143.95000005</v>
      </c>
      <c r="HJ13" s="176"/>
      <c r="HK13" s="329" t="s">
        <v>279</v>
      </c>
      <c r="HL13" s="331">
        <f>HL11-HL12</f>
        <v>25211416.309999999</v>
      </c>
      <c r="HM13" s="378">
        <f t="shared" si="44"/>
        <v>30.518000000000001</v>
      </c>
      <c r="HN13" s="380">
        <f t="shared" si="45"/>
        <v>815610414.25</v>
      </c>
      <c r="HO13" s="176"/>
      <c r="HP13" s="176"/>
      <c r="HQ13" s="176"/>
      <c r="HR13" s="199">
        <v>433.16</v>
      </c>
      <c r="HS13" s="212">
        <v>3118720.17</v>
      </c>
      <c r="HT13" s="211"/>
      <c r="HU13" s="211"/>
      <c r="HV13" s="211"/>
      <c r="HW13" s="202">
        <f t="shared" si="5"/>
        <v>0.01</v>
      </c>
      <c r="HX13" s="204">
        <f t="shared" si="46"/>
        <v>3118720.17</v>
      </c>
      <c r="HY13" s="211"/>
      <c r="HZ13" s="215"/>
      <c r="IA13" s="202">
        <f t="shared" si="6"/>
        <v>18.940000000000001</v>
      </c>
      <c r="IB13" s="204">
        <f>HD13+$IB$9</f>
        <v>506296124.13999999</v>
      </c>
      <c r="IC13" s="176"/>
      <c r="ID13" s="211"/>
      <c r="IE13" s="202">
        <f t="shared" si="7"/>
        <v>18.940000000000001</v>
      </c>
      <c r="IF13" s="204">
        <f t="shared" si="47"/>
        <v>506268910.5</v>
      </c>
      <c r="IG13" s="211"/>
      <c r="IH13" s="211"/>
      <c r="II13" s="202">
        <f t="shared" si="8"/>
        <v>18.95</v>
      </c>
      <c r="IJ13" s="205">
        <f t="shared" si="48"/>
        <v>506360702.67000002</v>
      </c>
      <c r="IK13" s="194">
        <f t="shared" si="49"/>
        <v>0.01</v>
      </c>
      <c r="IL13" s="211"/>
      <c r="IM13" s="211"/>
      <c r="IN13" s="202">
        <f t="shared" si="9"/>
        <v>18.95</v>
      </c>
      <c r="IO13" s="205">
        <f t="shared" si="50"/>
        <v>506573661.67000002</v>
      </c>
      <c r="IP13" s="194">
        <f t="shared" si="51"/>
        <v>0</v>
      </c>
      <c r="IQ13" s="211"/>
      <c r="IR13" s="211"/>
      <c r="IS13" s="211"/>
      <c r="IT13" s="211"/>
      <c r="IU13" s="202">
        <f t="shared" si="10"/>
        <v>18.96</v>
      </c>
      <c r="IV13" s="205">
        <f t="shared" si="52"/>
        <v>506672853.11000001</v>
      </c>
      <c r="IW13" s="194">
        <f t="shared" si="53"/>
        <v>18.96</v>
      </c>
      <c r="IX13" s="211"/>
      <c r="IY13" s="211"/>
      <c r="IZ13" s="211"/>
      <c r="JA13" s="211"/>
      <c r="JB13" s="207">
        <v>267.45</v>
      </c>
      <c r="JC13" s="208">
        <v>7200</v>
      </c>
      <c r="JD13" s="209">
        <v>199.2</v>
      </c>
      <c r="JE13" s="210">
        <v>1434240</v>
      </c>
      <c r="JF13" s="209">
        <f t="shared" si="11"/>
        <v>224.59</v>
      </c>
      <c r="JG13" s="210">
        <f t="shared" si="12"/>
        <v>1617035.33</v>
      </c>
      <c r="JH13" s="209">
        <f t="shared" si="13"/>
        <v>264.70999999999998</v>
      </c>
      <c r="JI13" s="210">
        <f t="shared" si="54"/>
        <v>1905946.33</v>
      </c>
      <c r="JJ13" s="209">
        <f t="shared" si="14"/>
        <v>266.29000000000002</v>
      </c>
      <c r="JK13" s="210">
        <f t="shared" si="55"/>
        <v>1917313</v>
      </c>
      <c r="JL13" s="209">
        <f t="shared" si="15"/>
        <v>267.45</v>
      </c>
      <c r="JM13" s="210">
        <f t="shared" si="56"/>
        <v>1925646.33</v>
      </c>
      <c r="JN13" s="210"/>
    </row>
    <row r="14" spans="1:288" ht="51" x14ac:dyDescent="0.25">
      <c r="A14" s="191" t="s">
        <v>227</v>
      </c>
      <c r="B14" s="192" t="s">
        <v>639</v>
      </c>
      <c r="C14" s="144" t="s">
        <v>228</v>
      </c>
      <c r="D14" s="193">
        <v>31428</v>
      </c>
      <c r="E14" s="193">
        <v>3132</v>
      </c>
      <c r="F14" s="193">
        <v>3132</v>
      </c>
      <c r="G14" s="533">
        <v>31428</v>
      </c>
      <c r="H14" s="533">
        <v>31428</v>
      </c>
      <c r="I14" s="194">
        <f>341.25+41.11+0.9</f>
        <v>383.26</v>
      </c>
      <c r="J14" s="194">
        <f t="shared" si="16"/>
        <v>12045095.279999999</v>
      </c>
      <c r="K14" s="194">
        <v>341.25</v>
      </c>
      <c r="L14" s="194">
        <f t="shared" si="17"/>
        <v>10724805</v>
      </c>
      <c r="M14" s="194">
        <v>341.25</v>
      </c>
      <c r="N14" s="194">
        <f t="shared" si="18"/>
        <v>10724805</v>
      </c>
      <c r="O14" s="211"/>
      <c r="P14" s="211"/>
      <c r="Q14" s="211"/>
      <c r="R14" s="797">
        <v>31428</v>
      </c>
      <c r="S14" s="504">
        <v>341.25</v>
      </c>
      <c r="T14" s="506">
        <f t="shared" si="19"/>
        <v>10724805</v>
      </c>
      <c r="U14" s="211"/>
      <c r="V14" s="504">
        <f>341.25+41.11</f>
        <v>382.36</v>
      </c>
      <c r="W14" s="506">
        <f t="shared" si="57"/>
        <v>12016810.08</v>
      </c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196">
        <v>3132</v>
      </c>
      <c r="AT14" s="504">
        <v>279.42</v>
      </c>
      <c r="AU14" s="506">
        <f t="shared" si="0"/>
        <v>875143.44</v>
      </c>
      <c r="AV14" s="211"/>
      <c r="AW14" s="196">
        <v>3133</v>
      </c>
      <c r="AX14" s="653">
        <f>279.42-0.020274</f>
        <v>279.39972999999998</v>
      </c>
      <c r="AY14" s="506">
        <f t="shared" si="20"/>
        <v>875359.35</v>
      </c>
      <c r="AZ14" s="211"/>
      <c r="BA14" s="196">
        <v>3134</v>
      </c>
      <c r="BB14" s="653">
        <f>279.42-0.040587</f>
        <v>279.37941000000001</v>
      </c>
      <c r="BC14" s="506">
        <f t="shared" si="21"/>
        <v>875575.07</v>
      </c>
      <c r="BD14" s="211"/>
      <c r="BE14" s="211"/>
      <c r="BF14" s="211"/>
      <c r="BG14" s="194">
        <f t="shared" si="22"/>
        <v>361.9</v>
      </c>
      <c r="BH14" s="204">
        <f t="shared" si="23"/>
        <v>1133470.8</v>
      </c>
      <c r="BI14" s="211"/>
      <c r="BJ14" s="194">
        <f>AX14+BK10</f>
        <v>221.32</v>
      </c>
      <c r="BK14" s="204">
        <f t="shared" si="24"/>
        <v>693395.56</v>
      </c>
      <c r="BL14" s="211"/>
      <c r="BM14" s="194">
        <f t="shared" si="25"/>
        <v>177.08</v>
      </c>
      <c r="BN14" s="204">
        <f t="shared" si="26"/>
        <v>554968.72</v>
      </c>
      <c r="BO14" s="176"/>
      <c r="BP14" s="211"/>
      <c r="BQ14" s="211"/>
      <c r="BR14" s="194">
        <f t="shared" si="27"/>
        <v>361.9</v>
      </c>
      <c r="BS14" s="204">
        <f t="shared" si="28"/>
        <v>1133470.8</v>
      </c>
      <c r="BT14" s="211"/>
      <c r="BU14" s="211"/>
      <c r="BV14" s="194">
        <f t="shared" si="58"/>
        <v>363.1</v>
      </c>
      <c r="BW14" s="204">
        <f t="shared" si="29"/>
        <v>1137229.2</v>
      </c>
      <c r="BX14" s="211"/>
      <c r="BY14" s="211"/>
      <c r="BZ14" s="194">
        <f t="shared" si="30"/>
        <v>371.47</v>
      </c>
      <c r="CA14" s="204">
        <f t="shared" si="31"/>
        <v>1163444.04</v>
      </c>
      <c r="CB14" s="211"/>
      <c r="CC14" s="211"/>
      <c r="CD14" s="503">
        <f>3132+27864</f>
        <v>30996</v>
      </c>
      <c r="CE14" s="505">
        <f>279.42+48.07</f>
        <v>327.49</v>
      </c>
      <c r="CF14" s="198">
        <f t="shared" si="1"/>
        <v>10150880.039999999</v>
      </c>
      <c r="CG14" s="211"/>
      <c r="CH14" s="507">
        <f>3133+27865</f>
        <v>30998</v>
      </c>
      <c r="CI14" s="656">
        <f>279.42-0.020274+9.652328</f>
        <v>289.05205000000001</v>
      </c>
      <c r="CJ14" s="198">
        <f t="shared" si="32"/>
        <v>8960035.4499999993</v>
      </c>
      <c r="CK14" s="211"/>
      <c r="CL14" s="507">
        <f>3134+27866</f>
        <v>31000</v>
      </c>
      <c r="CM14" s="656">
        <f>279.42-0.040587+9.6998728</f>
        <v>289.07929000000001</v>
      </c>
      <c r="CN14" s="198">
        <f t="shared" si="33"/>
        <v>8961457.9900000002</v>
      </c>
      <c r="CO14" s="211"/>
      <c r="CP14" s="211"/>
      <c r="CQ14" s="655">
        <f t="shared" si="34"/>
        <v>337.9</v>
      </c>
      <c r="CR14" s="198">
        <f t="shared" si="35"/>
        <v>10473548.4</v>
      </c>
      <c r="CS14" s="211"/>
      <c r="CT14" s="211"/>
      <c r="CU14" s="211"/>
      <c r="CV14" s="655">
        <f t="shared" si="59"/>
        <v>329.78</v>
      </c>
      <c r="CW14" s="198">
        <f t="shared" si="36"/>
        <v>10221860.880000001</v>
      </c>
      <c r="CX14" s="211"/>
      <c r="CY14" s="211"/>
      <c r="CZ14" s="196">
        <v>2916</v>
      </c>
      <c r="DA14" s="504">
        <v>266.06</v>
      </c>
      <c r="DB14" s="506">
        <f t="shared" si="2"/>
        <v>775830.96</v>
      </c>
      <c r="DC14" s="176"/>
      <c r="DD14" s="176"/>
      <c r="DE14" s="14"/>
      <c r="DF14" s="519">
        <f>(DF13-DB17)/CZ17</f>
        <v>-2.5020000000000001E-4</v>
      </c>
      <c r="DG14" s="378">
        <v>266.06</v>
      </c>
      <c r="DH14" s="380">
        <f t="shared" si="37"/>
        <v>775830.96</v>
      </c>
      <c r="DI14" s="176"/>
      <c r="DJ14" s="204">
        <v>2113170.35</v>
      </c>
      <c r="DK14" s="513" t="s">
        <v>372</v>
      </c>
      <c r="DL14" s="176">
        <f>DJ11+DJ12+DJ13+DJ14</f>
        <v>17873470.350000001</v>
      </c>
      <c r="DM14" s="176">
        <f>69.8063*64152</f>
        <v>4478213.76</v>
      </c>
      <c r="DN14" s="14"/>
      <c r="DO14" s="519">
        <f>(DO13-DF13)/CZ17</f>
        <v>69.8063973</v>
      </c>
      <c r="DP14" s="524">
        <f>$DG$14+69.81</f>
        <v>335.87</v>
      </c>
      <c r="DQ14" s="380">
        <f t="shared" si="3"/>
        <v>979396.92</v>
      </c>
      <c r="DR14" s="204">
        <v>2113170.35</v>
      </c>
      <c r="DS14" s="513" t="s">
        <v>372</v>
      </c>
      <c r="DT14" s="176">
        <f>DR11+DR12+DR13+DR14</f>
        <v>22351690.350000001</v>
      </c>
      <c r="DU14" s="176" t="s">
        <v>378</v>
      </c>
      <c r="DV14" s="524">
        <f>$DG$14+70.74</f>
        <v>336.8</v>
      </c>
      <c r="DW14" s="380">
        <f t="shared" si="38"/>
        <v>982108.8</v>
      </c>
      <c r="DX14" s="522">
        <f>DT14+DR17</f>
        <v>22411559.420000002</v>
      </c>
      <c r="DY14" s="529" t="s">
        <v>381</v>
      </c>
      <c r="DZ14" s="188"/>
      <c r="EA14" s="14"/>
      <c r="EB14" s="519">
        <f>(EB13-DO13)/CZ17</f>
        <v>26.4378283</v>
      </c>
      <c r="EC14" s="524">
        <f>$DG$14+70.74+25.8</f>
        <v>362.6</v>
      </c>
      <c r="ED14" s="380">
        <f>EC14*$CZ$14</f>
        <v>1057341.6000000001</v>
      </c>
      <c r="EE14" s="204">
        <f>2113170.35+133651.56</f>
        <v>2246821.91</v>
      </c>
      <c r="EF14" s="513" t="s">
        <v>372</v>
      </c>
      <c r="EG14" s="176" t="s">
        <v>391</v>
      </c>
      <c r="EH14" s="546" t="s">
        <v>393</v>
      </c>
      <c r="EI14" s="547">
        <f>EE11+EE12+EE13+EE14</f>
        <v>24047729.91</v>
      </c>
      <c r="EJ14" s="540" t="s">
        <v>396</v>
      </c>
      <c r="EK14" s="541">
        <f>EI14-ED18</f>
        <v>23284363.27</v>
      </c>
      <c r="EL14" s="539"/>
      <c r="EM14" s="14"/>
      <c r="EN14" s="519">
        <f>(EN13-EB13)/$CZ$17</f>
        <v>0.8795634</v>
      </c>
      <c r="EO14" s="524">
        <f>$DG$14+70.74+25.8+0.88</f>
        <v>363.48</v>
      </c>
      <c r="EP14" s="380">
        <f>EO14*$CZ$14</f>
        <v>1059907.68</v>
      </c>
      <c r="EQ14" s="204">
        <f>2113170.35+133651.56</f>
        <v>2246821.91</v>
      </c>
      <c r="ER14" s="513" t="s">
        <v>372</v>
      </c>
      <c r="ES14" s="546" t="s">
        <v>393</v>
      </c>
      <c r="ET14" s="553">
        <f>EQ11+EQ12+EQ13+EQ14</f>
        <v>24104171.710000001</v>
      </c>
      <c r="EU14" s="540" t="s">
        <v>396</v>
      </c>
      <c r="EV14" s="541">
        <f>ET14-EP18</f>
        <v>23340805.07</v>
      </c>
      <c r="EW14" s="539"/>
      <c r="EX14" s="14"/>
      <c r="EY14" s="519">
        <f>(EY13-EB13)/$CZ$17</f>
        <v>0.8795634</v>
      </c>
      <c r="EZ14" s="524">
        <f>$DG$14+70.74+25.8+0.88</f>
        <v>363.48</v>
      </c>
      <c r="FA14" s="380">
        <f>EZ14*$CZ$14</f>
        <v>1059907.68</v>
      </c>
      <c r="FB14" s="204">
        <f>2113170.35+133651.56</f>
        <v>2246821.91</v>
      </c>
      <c r="FC14" s="513" t="s">
        <v>372</v>
      </c>
      <c r="FD14" s="546" t="s">
        <v>393</v>
      </c>
      <c r="FE14" s="553">
        <f>FB11+FB12+FB13+FB14</f>
        <v>24104171.710000001</v>
      </c>
      <c r="FF14" s="540" t="s">
        <v>396</v>
      </c>
      <c r="FG14" s="541">
        <f>FE14-FA18</f>
        <v>23340805.07</v>
      </c>
      <c r="FH14" s="539"/>
      <c r="FI14" s="539"/>
      <c r="FJ14" s="14"/>
      <c r="FK14" s="519">
        <f>(FK13-EY13)/$CZ$17</f>
        <v>75.885441799999995</v>
      </c>
      <c r="FL14" s="524">
        <f>$DG$14+70.74+25.8+0.88+75.89</f>
        <v>439.37</v>
      </c>
      <c r="FM14" s="380">
        <f>FL14*$CZ$14</f>
        <v>1281202.92</v>
      </c>
      <c r="FN14" s="568">
        <f>2113170.35+133651.56</f>
        <v>2246821.91</v>
      </c>
      <c r="FO14" s="567" t="s">
        <v>372</v>
      </c>
      <c r="FP14" s="546" t="s">
        <v>393</v>
      </c>
      <c r="FQ14" s="553">
        <f>FN11+FN12+FN13+FN14+0.06</f>
        <v>28972374.57</v>
      </c>
      <c r="FR14" s="540" t="s">
        <v>396</v>
      </c>
      <c r="FS14" s="541">
        <f>FQ14-FK12</f>
        <v>28209007.920000002</v>
      </c>
      <c r="FT14" s="567">
        <f>FS14-FG14</f>
        <v>4868202.8499999996</v>
      </c>
      <c r="FU14" s="578">
        <f>FT14/$CZ$17</f>
        <v>75.885441999999998</v>
      </c>
      <c r="FV14" s="567" t="s">
        <v>417</v>
      </c>
      <c r="FW14" s="601" t="s">
        <v>429</v>
      </c>
      <c r="FX14" s="597">
        <f>2916-1620</f>
        <v>1296</v>
      </c>
      <c r="FY14" s="504">
        <f>363.48+263.6</f>
        <v>627.08000000000004</v>
      </c>
      <c r="FZ14" s="504">
        <f t="shared" si="4"/>
        <v>812695.68</v>
      </c>
      <c r="GA14" s="331">
        <f>266.06</f>
        <v>266.06</v>
      </c>
      <c r="GB14" s="592">
        <f>266.06+113.87</f>
        <v>379.93</v>
      </c>
      <c r="GC14" s="198">
        <f t="shared" si="39"/>
        <v>492389.28</v>
      </c>
      <c r="GD14" s="176"/>
      <c r="GE14" s="176"/>
      <c r="GF14" s="176"/>
      <c r="GG14" s="176"/>
      <c r="GH14" s="473"/>
      <c r="GI14" s="176"/>
      <c r="GJ14" s="176"/>
      <c r="GK14" s="176"/>
      <c r="GL14" s="176"/>
      <c r="GM14" s="176"/>
      <c r="GN14" s="176"/>
      <c r="GO14" s="176"/>
      <c r="GP14" s="176"/>
      <c r="GQ14" s="176"/>
      <c r="GR14" s="176"/>
      <c r="GT14" s="546" t="s">
        <v>393</v>
      </c>
      <c r="GU14" s="553">
        <f>FN11+FN12+FN13+FN14</f>
        <v>28972374.510000002</v>
      </c>
      <c r="GV14" s="540" t="s">
        <v>396</v>
      </c>
      <c r="GW14" s="541" t="e">
        <f>GU14-FM18</f>
        <v>#REF!</v>
      </c>
      <c r="GX14" s="539"/>
      <c r="GY14" s="325"/>
      <c r="GZ14" s="211"/>
      <c r="HA14" s="14"/>
      <c r="HB14" s="337" t="e">
        <f>(HB13-GV17)/GT17</f>
        <v>#REF!</v>
      </c>
      <c r="HC14" s="378">
        <f t="shared" si="40"/>
        <v>28972393.447999999</v>
      </c>
      <c r="HD14" s="379" t="e">
        <f t="shared" si="41"/>
        <v>#VALUE!</v>
      </c>
      <c r="HE14" s="176"/>
      <c r="HF14" s="14"/>
      <c r="HG14" s="337" t="e">
        <f>(HG13-HB13)/GT17</f>
        <v>#REF!</v>
      </c>
      <c r="HH14" s="378">
        <f t="shared" si="42"/>
        <v>28972395.355</v>
      </c>
      <c r="HI14" s="380" t="e">
        <f t="shared" si="43"/>
        <v>#VALUE!</v>
      </c>
      <c r="HJ14" s="176"/>
      <c r="HK14" s="14"/>
      <c r="HL14" s="337" t="e">
        <f>(HL13-HG13)/GT17</f>
        <v>#REF!</v>
      </c>
      <c r="HM14" s="378">
        <f t="shared" si="44"/>
        <v>28972405.028000001</v>
      </c>
      <c r="HN14" s="380" t="e">
        <f t="shared" si="45"/>
        <v>#VALUE!</v>
      </c>
      <c r="HO14" s="176"/>
      <c r="HP14" s="176"/>
      <c r="HQ14" s="176"/>
      <c r="HR14" s="199">
        <v>416.01</v>
      </c>
      <c r="HS14" s="212">
        <v>1093277.73</v>
      </c>
      <c r="HT14" s="211"/>
      <c r="HU14" s="211"/>
      <c r="HV14" s="211"/>
      <c r="HW14" s="202" t="e">
        <f t="shared" si="5"/>
        <v>#VALUE!</v>
      </c>
      <c r="HX14" s="204">
        <f t="shared" si="46"/>
        <v>1093277.73</v>
      </c>
      <c r="HY14" s="211"/>
      <c r="HZ14" s="215"/>
      <c r="IA14" s="202" t="e">
        <f t="shared" si="6"/>
        <v>#VALUE!</v>
      </c>
      <c r="IB14" s="204" t="e">
        <f t="shared" ref="IB14:IB15" si="60">HD14+$IB$9</f>
        <v>#VALUE!</v>
      </c>
      <c r="IC14" s="176"/>
      <c r="ID14" s="211"/>
      <c r="IE14" s="202" t="e">
        <f t="shared" si="7"/>
        <v>#VALUE!</v>
      </c>
      <c r="IF14" s="204" t="e">
        <f t="shared" si="47"/>
        <v>#VALUE!</v>
      </c>
      <c r="IG14" s="211"/>
      <c r="IH14" s="211"/>
      <c r="II14" s="202" t="e">
        <f t="shared" si="8"/>
        <v>#VALUE!</v>
      </c>
      <c r="IJ14" s="205" t="e">
        <f t="shared" si="48"/>
        <v>#VALUE!</v>
      </c>
      <c r="IK14" s="194" t="e">
        <f t="shared" si="49"/>
        <v>#VALUE!</v>
      </c>
      <c r="IL14" s="211"/>
      <c r="IM14" s="211"/>
      <c r="IN14" s="202" t="e">
        <f t="shared" si="9"/>
        <v>#VALUE!</v>
      </c>
      <c r="IO14" s="205" t="e">
        <f t="shared" si="50"/>
        <v>#VALUE!</v>
      </c>
      <c r="IP14" s="194" t="e">
        <f t="shared" si="51"/>
        <v>#VALUE!</v>
      </c>
      <c r="IQ14" s="211"/>
      <c r="IR14" s="211"/>
      <c r="IS14" s="211"/>
      <c r="IT14" s="211"/>
      <c r="IU14" s="202" t="e">
        <f t="shared" si="10"/>
        <v>#VALUE!</v>
      </c>
      <c r="IV14" s="205" t="e">
        <f t="shared" si="52"/>
        <v>#VALUE!</v>
      </c>
      <c r="IW14" s="194" t="e">
        <f t="shared" si="53"/>
        <v>#VALUE!</v>
      </c>
      <c r="IX14" s="211"/>
      <c r="IY14" s="211"/>
      <c r="IZ14" s="211"/>
      <c r="JA14" s="211"/>
      <c r="JB14" s="207">
        <v>238.88</v>
      </c>
      <c r="JC14" s="208">
        <v>12240</v>
      </c>
      <c r="JD14" s="209">
        <v>198.73</v>
      </c>
      <c r="JE14" s="210">
        <v>2432455.2000000002</v>
      </c>
      <c r="JF14" s="209">
        <f t="shared" si="11"/>
        <v>213.66</v>
      </c>
      <c r="JG14" s="210">
        <f t="shared" si="12"/>
        <v>2615250.5299999998</v>
      </c>
      <c r="JH14" s="209">
        <f t="shared" si="13"/>
        <v>237.27</v>
      </c>
      <c r="JI14" s="210">
        <f t="shared" si="54"/>
        <v>2904161.53</v>
      </c>
      <c r="JJ14" s="209">
        <f t="shared" si="14"/>
        <v>238.2</v>
      </c>
      <c r="JK14" s="210">
        <f t="shared" si="55"/>
        <v>2915528.2</v>
      </c>
      <c r="JL14" s="209">
        <f t="shared" si="15"/>
        <v>238.88</v>
      </c>
      <c r="JM14" s="210">
        <f t="shared" si="56"/>
        <v>2923861.53</v>
      </c>
      <c r="JN14" s="210"/>
    </row>
    <row r="15" spans="1:288" ht="60" x14ac:dyDescent="0.25">
      <c r="A15" s="191" t="s">
        <v>227</v>
      </c>
      <c r="B15" s="192" t="s">
        <v>231</v>
      </c>
      <c r="C15" s="144" t="s">
        <v>228</v>
      </c>
      <c r="D15" s="193">
        <v>47880</v>
      </c>
      <c r="E15" s="193">
        <v>23040</v>
      </c>
      <c r="F15" s="193">
        <v>23040</v>
      </c>
      <c r="G15" s="533">
        <v>47880</v>
      </c>
      <c r="H15" s="533">
        <v>47880</v>
      </c>
      <c r="I15" s="194">
        <f>341.3+41.1+0.9</f>
        <v>383.3</v>
      </c>
      <c r="J15" s="194">
        <f t="shared" si="16"/>
        <v>18352404</v>
      </c>
      <c r="K15" s="194">
        <v>341.3</v>
      </c>
      <c r="L15" s="194">
        <f t="shared" si="17"/>
        <v>16341444</v>
      </c>
      <c r="M15" s="194">
        <v>341.3</v>
      </c>
      <c r="N15" s="194">
        <f t="shared" si="18"/>
        <v>16341444</v>
      </c>
      <c r="O15" s="211"/>
      <c r="P15" s="211"/>
      <c r="Q15" s="211"/>
      <c r="R15" s="797">
        <v>47880</v>
      </c>
      <c r="S15" s="504">
        <v>341.3</v>
      </c>
      <c r="T15" s="506">
        <f t="shared" si="19"/>
        <v>16341444</v>
      </c>
      <c r="U15" s="211"/>
      <c r="V15" s="504">
        <f>341.3+41.1</f>
        <v>382.4</v>
      </c>
      <c r="W15" s="506">
        <f t="shared" si="57"/>
        <v>18309312</v>
      </c>
      <c r="X15" s="211"/>
      <c r="Y15" s="211"/>
      <c r="Z15" s="211"/>
      <c r="AA15" s="211"/>
      <c r="AB15" s="211"/>
      <c r="AC15" s="211"/>
      <c r="AD15" s="211"/>
      <c r="AE15" s="211"/>
      <c r="AF15" s="795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196">
        <v>23040</v>
      </c>
      <c r="AT15" s="504">
        <v>279.43</v>
      </c>
      <c r="AU15" s="506">
        <f t="shared" si="0"/>
        <v>6438067.2000000002</v>
      </c>
      <c r="AV15" s="211"/>
      <c r="AW15" s="196">
        <v>23041</v>
      </c>
      <c r="AX15" s="583">
        <f>279.43-0.02</f>
        <v>279.41000000000003</v>
      </c>
      <c r="AY15" s="506">
        <f t="shared" si="20"/>
        <v>6437885.8099999996</v>
      </c>
      <c r="AZ15" s="211"/>
      <c r="BA15" s="196">
        <v>23042</v>
      </c>
      <c r="BB15" s="583">
        <f>279.43-0.04</f>
        <v>279.39</v>
      </c>
      <c r="BC15" s="506">
        <f t="shared" si="21"/>
        <v>6437704.3799999999</v>
      </c>
      <c r="BD15" s="211"/>
      <c r="BE15" s="211"/>
      <c r="BF15" s="211"/>
      <c r="BG15" s="194">
        <f t="shared" si="22"/>
        <v>361.91</v>
      </c>
      <c r="BH15" s="204">
        <f t="shared" si="23"/>
        <v>8338406.4000000004</v>
      </c>
      <c r="BI15" s="211"/>
      <c r="BJ15" s="194">
        <f>AX15+BK10</f>
        <v>221.33</v>
      </c>
      <c r="BK15" s="204">
        <f t="shared" si="24"/>
        <v>5099664.53</v>
      </c>
      <c r="BL15" s="211"/>
      <c r="BM15" s="194">
        <f t="shared" si="25"/>
        <v>177.09</v>
      </c>
      <c r="BN15" s="204">
        <f t="shared" si="26"/>
        <v>4080507.78</v>
      </c>
      <c r="BO15" s="176"/>
      <c r="BP15" s="211"/>
      <c r="BQ15" s="211"/>
      <c r="BR15" s="194">
        <f t="shared" si="27"/>
        <v>361.91</v>
      </c>
      <c r="BS15" s="204">
        <f t="shared" si="28"/>
        <v>8338406.4000000004</v>
      </c>
      <c r="BT15" s="211"/>
      <c r="BU15" s="211"/>
      <c r="BV15" s="194">
        <f t="shared" si="58"/>
        <v>363.11</v>
      </c>
      <c r="BW15" s="204">
        <f t="shared" si="29"/>
        <v>8366054.4000000004</v>
      </c>
      <c r="BX15" s="211"/>
      <c r="BY15" s="211"/>
      <c r="BZ15" s="194">
        <f t="shared" si="30"/>
        <v>371.48</v>
      </c>
      <c r="CA15" s="204">
        <f t="shared" si="31"/>
        <v>8558899.1999999993</v>
      </c>
      <c r="CB15" s="211"/>
      <c r="CC15" s="211"/>
      <c r="CD15" s="503">
        <f>20800+25596</f>
        <v>46396</v>
      </c>
      <c r="CE15" s="505">
        <f>279.43+48.07</f>
        <v>327.5</v>
      </c>
      <c r="CF15" s="198">
        <f t="shared" si="1"/>
        <v>15194690</v>
      </c>
      <c r="CG15" s="211"/>
      <c r="CH15" s="507">
        <f>20800+25596</f>
        <v>46396</v>
      </c>
      <c r="CI15" s="655">
        <f>279.43-0.02+9.65</f>
        <v>289.06</v>
      </c>
      <c r="CJ15" s="198">
        <f t="shared" si="32"/>
        <v>13411227.76</v>
      </c>
      <c r="CK15" s="211"/>
      <c r="CL15" s="507">
        <f>20800+25596</f>
        <v>46396</v>
      </c>
      <c r="CM15" s="655">
        <f>279.43-0.04+9.65</f>
        <v>289.04000000000002</v>
      </c>
      <c r="CN15" s="198">
        <f t="shared" si="33"/>
        <v>13410299.84</v>
      </c>
      <c r="CO15" s="211"/>
      <c r="CP15" s="211"/>
      <c r="CQ15" s="655">
        <f t="shared" si="34"/>
        <v>337.91</v>
      </c>
      <c r="CR15" s="198">
        <f t="shared" si="35"/>
        <v>15677672.359999999</v>
      </c>
      <c r="CS15" s="211"/>
      <c r="CT15" s="211"/>
      <c r="CU15" s="211"/>
      <c r="CV15" s="655">
        <f t="shared" si="59"/>
        <v>329.79</v>
      </c>
      <c r="CW15" s="198">
        <f t="shared" si="36"/>
        <v>15300936.84</v>
      </c>
      <c r="CX15" s="211"/>
      <c r="CY15" s="211"/>
      <c r="CZ15" s="196">
        <v>20196</v>
      </c>
      <c r="DA15" s="504">
        <v>266.95</v>
      </c>
      <c r="DB15" s="506">
        <f t="shared" si="2"/>
        <v>5391322.2000000002</v>
      </c>
      <c r="DC15" s="176"/>
      <c r="DD15" s="176"/>
      <c r="DE15" s="332" t="s">
        <v>369</v>
      </c>
      <c r="DF15" s="333">
        <f>DJ15+DJ16</f>
        <v>27957415.149999999</v>
      </c>
      <c r="DG15" s="378">
        <v>266.95</v>
      </c>
      <c r="DH15" s="380">
        <f t="shared" si="37"/>
        <v>5391322.2000000002</v>
      </c>
      <c r="DI15" s="176"/>
      <c r="DJ15" s="198">
        <v>24652200</v>
      </c>
      <c r="DK15" s="514" t="s">
        <v>371</v>
      </c>
      <c r="DL15" s="176"/>
      <c r="DM15" s="176"/>
      <c r="DN15" s="332" t="s">
        <v>282</v>
      </c>
      <c r="DO15" s="333">
        <f>DR15+DR16+DR17</f>
        <v>28017284.219999999</v>
      </c>
      <c r="DP15" s="524">
        <f>$DG$15+69.81</f>
        <v>336.76</v>
      </c>
      <c r="DQ15" s="380">
        <f t="shared" si="3"/>
        <v>6801204.96</v>
      </c>
      <c r="DR15" s="198">
        <v>24652200</v>
      </c>
      <c r="DS15" s="198" t="s">
        <v>371</v>
      </c>
      <c r="DT15" s="176"/>
      <c r="DU15" s="176"/>
      <c r="DV15" s="524">
        <f>$DG$15+70.74</f>
        <v>337.69</v>
      </c>
      <c r="DW15" s="380">
        <f t="shared" si="38"/>
        <v>6819987.2400000002</v>
      </c>
      <c r="DX15" s="528">
        <f>DX14-DO12</f>
        <v>21648208.82</v>
      </c>
      <c r="DY15" s="527" t="s">
        <v>382</v>
      </c>
      <c r="DZ15" s="188"/>
      <c r="EA15" s="332" t="s">
        <v>282</v>
      </c>
      <c r="EB15" s="333">
        <f>EE15+EE16+EE17</f>
        <v>28392284.219999999</v>
      </c>
      <c r="EC15" s="524">
        <f>$DG$15+70.74+25.8</f>
        <v>363.49</v>
      </c>
      <c r="ED15" s="380">
        <f>EC15*$CZ$15</f>
        <v>7341044.04</v>
      </c>
      <c r="EE15" s="198">
        <v>24652200</v>
      </c>
      <c r="EF15" s="198" t="s">
        <v>371</v>
      </c>
      <c r="EH15" s="544" t="s">
        <v>394</v>
      </c>
      <c r="EI15" s="545">
        <f>EE15+EE16+EE17</f>
        <v>28392284.219999999</v>
      </c>
      <c r="EJ15" s="188"/>
      <c r="EK15" s="521"/>
      <c r="EL15" s="521"/>
      <c r="EM15" s="332" t="s">
        <v>282</v>
      </c>
      <c r="EN15" s="333">
        <f>EQ15+EQ16+EQ17</f>
        <v>28392284.219999999</v>
      </c>
      <c r="EO15" s="524">
        <f>$DG$15+70.74+25.8+0.88</f>
        <v>364.37</v>
      </c>
      <c r="EP15" s="380">
        <f>EO15*$CZ$15</f>
        <v>7358816.5199999996</v>
      </c>
      <c r="EQ15" s="198">
        <v>24652200</v>
      </c>
      <c r="ER15" s="198" t="s">
        <v>371</v>
      </c>
      <c r="ES15" s="544" t="s">
        <v>394</v>
      </c>
      <c r="ET15" s="555">
        <f>EQ15+EQ16+EQ17</f>
        <v>28392284.219999999</v>
      </c>
      <c r="EU15" s="188"/>
      <c r="EV15" s="188"/>
      <c r="EW15" s="188"/>
      <c r="EX15" s="332" t="s">
        <v>410</v>
      </c>
      <c r="EY15" s="333">
        <f>FB15+FB16+FB17</f>
        <v>28826552.359999999</v>
      </c>
      <c r="EZ15" s="524">
        <f>$DG$15+70.74+25.8+0.88</f>
        <v>364.37</v>
      </c>
      <c r="FA15" s="380">
        <f>EZ15*$CZ$15</f>
        <v>7358816.5199999996</v>
      </c>
      <c r="FB15" s="198">
        <f>24652200+434268.14</f>
        <v>25086468.140000001</v>
      </c>
      <c r="FC15" s="198" t="s">
        <v>371</v>
      </c>
      <c r="FD15" s="544" t="s">
        <v>394</v>
      </c>
      <c r="FE15" s="555">
        <f>FB15+FB16+FB17</f>
        <v>28826552.359999999</v>
      </c>
      <c r="FF15" s="198">
        <f>FE15-ET15</f>
        <v>434268.14</v>
      </c>
      <c r="FG15" s="560" t="e">
        <f>FF15/#REF!</f>
        <v>#REF!</v>
      </c>
      <c r="FH15" s="514" t="s">
        <v>409</v>
      </c>
      <c r="FI15" s="188"/>
      <c r="FJ15" s="563" t="s">
        <v>410</v>
      </c>
      <c r="FK15" s="564" t="e">
        <f>FN15+FN16+FN17+#REF!</f>
        <v>#REF!</v>
      </c>
      <c r="FL15" s="524">
        <f>$DG$15+70.74+25.8+0.88+75.88</f>
        <v>440.25</v>
      </c>
      <c r="FM15" s="380">
        <f>FL15*$CZ$15</f>
        <v>8891289</v>
      </c>
      <c r="FN15" s="565">
        <f>24652200+434268.14-1572179</f>
        <v>23514289.140000001</v>
      </c>
      <c r="FO15" s="565" t="s">
        <v>371</v>
      </c>
      <c r="FP15" s="571" t="s">
        <v>394</v>
      </c>
      <c r="FQ15" s="572" t="e">
        <f>FN15+FN16+FN17+#REF!</f>
        <v>#REF!</v>
      </c>
      <c r="FR15" s="565" t="e">
        <f>FQ15-FE15</f>
        <v>#REF!</v>
      </c>
      <c r="FS15" s="575" t="e">
        <f>FR15/#REF!</f>
        <v>#REF!</v>
      </c>
      <c r="FT15" s="577" t="s">
        <v>416</v>
      </c>
      <c r="FU15" s="176"/>
      <c r="FV15" s="176" t="s">
        <v>418</v>
      </c>
      <c r="FW15" s="600" t="s">
        <v>430</v>
      </c>
      <c r="FX15" s="597">
        <f>20196-1836</f>
        <v>18360</v>
      </c>
      <c r="FY15" s="582">
        <f>364.37+263.606161</f>
        <v>627.97616100000005</v>
      </c>
      <c r="FZ15" s="504">
        <f t="shared" si="4"/>
        <v>11529642.32</v>
      </c>
      <c r="GA15" s="331">
        <f>266.95</f>
        <v>266.95</v>
      </c>
      <c r="GB15" s="592">
        <f>266.95+113.87</f>
        <v>380.82</v>
      </c>
      <c r="GC15" s="198">
        <f t="shared" si="39"/>
        <v>6991855.2000000002</v>
      </c>
      <c r="GD15" s="176"/>
      <c r="GE15" s="473"/>
      <c r="GF15" s="176"/>
      <c r="GG15" s="176"/>
      <c r="GH15" s="472"/>
      <c r="GI15" s="176"/>
      <c r="GJ15" s="176"/>
      <c r="GK15" s="176"/>
      <c r="GL15" s="176"/>
      <c r="GM15" s="176"/>
      <c r="GN15" s="176"/>
      <c r="GO15" s="176"/>
      <c r="GP15" s="176"/>
      <c r="GQ15" s="176"/>
      <c r="GR15" s="176"/>
      <c r="GT15" s="544" t="s">
        <v>394</v>
      </c>
      <c r="GU15" s="555">
        <f>FN15+FN16+FN17</f>
        <v>27254373.359999999</v>
      </c>
      <c r="GV15" s="198">
        <f>GU15-FF15</f>
        <v>26820105.219999999</v>
      </c>
      <c r="GW15" s="560" t="e">
        <f>GV15/#REF!</f>
        <v>#REF!</v>
      </c>
      <c r="GX15" s="514" t="s">
        <v>409</v>
      </c>
      <c r="GY15" s="325"/>
      <c r="GZ15" s="211"/>
      <c r="HA15" s="332" t="s">
        <v>282</v>
      </c>
      <c r="HB15" s="333">
        <v>10745500</v>
      </c>
      <c r="HC15" s="378">
        <f t="shared" si="40"/>
        <v>27254392.298</v>
      </c>
      <c r="HD15" s="379" t="e">
        <f t="shared" si="41"/>
        <v>#VALUE!</v>
      </c>
      <c r="HE15" s="176"/>
      <c r="HF15" s="332" t="s">
        <v>282</v>
      </c>
      <c r="HG15" s="333">
        <v>10745500</v>
      </c>
      <c r="HH15" s="378">
        <f t="shared" si="42"/>
        <v>27254394.204999998</v>
      </c>
      <c r="HI15" s="380" t="e">
        <f t="shared" si="43"/>
        <v>#VALUE!</v>
      </c>
      <c r="HJ15" s="176"/>
      <c r="HK15" s="332" t="s">
        <v>282</v>
      </c>
      <c r="HL15" s="333">
        <v>10745500</v>
      </c>
      <c r="HM15" s="378">
        <f t="shared" si="44"/>
        <v>27254403.877999999</v>
      </c>
      <c r="HN15" s="380" t="e">
        <f t="shared" si="45"/>
        <v>#VALUE!</v>
      </c>
      <c r="HO15" s="176"/>
      <c r="HP15" s="176"/>
      <c r="HQ15" s="176"/>
      <c r="HR15" s="199">
        <v>505.42</v>
      </c>
      <c r="HS15" s="212">
        <v>9534213.9399999995</v>
      </c>
      <c r="HT15" s="211"/>
      <c r="HU15" s="211"/>
      <c r="HV15" s="211"/>
      <c r="HW15" s="202" t="e">
        <f t="shared" si="5"/>
        <v>#VALUE!</v>
      </c>
      <c r="HX15" s="204">
        <f t="shared" si="46"/>
        <v>9534213.9399999995</v>
      </c>
      <c r="HY15" s="211"/>
      <c r="HZ15" s="215"/>
      <c r="IA15" s="202" t="e">
        <f t="shared" si="6"/>
        <v>#VALUE!</v>
      </c>
      <c r="IB15" s="204" t="e">
        <f t="shared" si="60"/>
        <v>#VALUE!</v>
      </c>
      <c r="IC15" s="176"/>
      <c r="ID15" s="211"/>
      <c r="IE15" s="202" t="e">
        <f t="shared" si="7"/>
        <v>#VALUE!</v>
      </c>
      <c r="IF15" s="204" t="e">
        <f t="shared" si="47"/>
        <v>#VALUE!</v>
      </c>
      <c r="IG15" s="211"/>
      <c r="IH15" s="211"/>
      <c r="II15" s="202" t="e">
        <f t="shared" si="8"/>
        <v>#VALUE!</v>
      </c>
      <c r="IJ15" s="205" t="e">
        <f t="shared" si="48"/>
        <v>#VALUE!</v>
      </c>
      <c r="IK15" s="194" t="e">
        <f t="shared" si="49"/>
        <v>#VALUE!</v>
      </c>
      <c r="IL15" s="211"/>
      <c r="IM15" s="211"/>
      <c r="IN15" s="202" t="e">
        <f t="shared" si="9"/>
        <v>#VALUE!</v>
      </c>
      <c r="IO15" s="205" t="e">
        <f t="shared" si="50"/>
        <v>#VALUE!</v>
      </c>
      <c r="IP15" s="194" t="e">
        <f t="shared" si="51"/>
        <v>#VALUE!</v>
      </c>
      <c r="IQ15" s="211"/>
      <c r="IR15" s="211"/>
      <c r="IS15" s="211"/>
      <c r="IT15" s="211"/>
      <c r="IU15" s="202" t="e">
        <f t="shared" si="10"/>
        <v>#VALUE!</v>
      </c>
      <c r="IV15" s="205" t="e">
        <f t="shared" si="52"/>
        <v>#VALUE!</v>
      </c>
      <c r="IW15" s="194" t="e">
        <f t="shared" si="53"/>
        <v>#VALUE!</v>
      </c>
      <c r="IX15" s="211"/>
      <c r="IY15" s="211"/>
      <c r="IZ15" s="211"/>
      <c r="JA15" s="211"/>
      <c r="JB15" s="207">
        <v>212.43</v>
      </c>
      <c r="JC15" s="208">
        <v>38916</v>
      </c>
      <c r="JD15" s="209">
        <v>199.8</v>
      </c>
      <c r="JE15" s="210">
        <v>7775416.7999999998</v>
      </c>
      <c r="JF15" s="209">
        <f t="shared" si="11"/>
        <v>204.5</v>
      </c>
      <c r="JG15" s="210">
        <f t="shared" si="12"/>
        <v>7958212.1299999999</v>
      </c>
      <c r="JH15" s="209">
        <f t="shared" si="13"/>
        <v>211.92</v>
      </c>
      <c r="JI15" s="210">
        <f t="shared" si="54"/>
        <v>8247123.1299999999</v>
      </c>
      <c r="JJ15" s="209">
        <f t="shared" si="14"/>
        <v>212.21</v>
      </c>
      <c r="JK15" s="210">
        <f t="shared" si="55"/>
        <v>8258489.7999999998</v>
      </c>
      <c r="JL15" s="209">
        <f t="shared" si="15"/>
        <v>212.43</v>
      </c>
      <c r="JM15" s="210">
        <f t="shared" si="56"/>
        <v>8266823.1299999999</v>
      </c>
      <c r="JN15" s="210"/>
      <c r="JR15" s="180" t="s">
        <v>232</v>
      </c>
      <c r="JU15" s="180" t="s">
        <v>232</v>
      </c>
    </row>
    <row r="16" spans="1:288" ht="60" x14ac:dyDescent="0.25">
      <c r="A16" s="192" t="s">
        <v>227</v>
      </c>
      <c r="B16" s="192" t="s">
        <v>637</v>
      </c>
      <c r="C16" s="144" t="s">
        <v>228</v>
      </c>
      <c r="D16" s="193">
        <v>20844</v>
      </c>
      <c r="E16" s="193">
        <v>10980</v>
      </c>
      <c r="F16" s="193">
        <v>10980</v>
      </c>
      <c r="G16" s="533">
        <v>20844</v>
      </c>
      <c r="H16" s="533">
        <v>20844</v>
      </c>
      <c r="I16" s="194">
        <f>341.2+41.1+0.9</f>
        <v>383.2</v>
      </c>
      <c r="J16" s="194">
        <f t="shared" si="16"/>
        <v>7987420.7999999998</v>
      </c>
      <c r="K16" s="194">
        <v>341.2</v>
      </c>
      <c r="L16" s="194">
        <f t="shared" si="17"/>
        <v>7111972.7999999998</v>
      </c>
      <c r="M16" s="194">
        <v>341.2</v>
      </c>
      <c r="N16" s="194">
        <f t="shared" si="18"/>
        <v>7111972.7999999998</v>
      </c>
      <c r="O16" s="211"/>
      <c r="P16" s="211"/>
      <c r="Q16" s="211"/>
      <c r="R16" s="797">
        <v>20844</v>
      </c>
      <c r="S16" s="504">
        <v>341.2</v>
      </c>
      <c r="T16" s="506">
        <f t="shared" si="19"/>
        <v>7111972.7999999998</v>
      </c>
      <c r="U16" s="211"/>
      <c r="V16" s="504">
        <f>341.2+41.1</f>
        <v>382.3</v>
      </c>
      <c r="W16" s="506">
        <f t="shared" si="57"/>
        <v>7968661.2000000002</v>
      </c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196">
        <v>10980</v>
      </c>
      <c r="AT16" s="504">
        <v>279.39999999999998</v>
      </c>
      <c r="AU16" s="506">
        <f t="shared" si="0"/>
        <v>3067812</v>
      </c>
      <c r="AV16" s="211"/>
      <c r="AW16" s="196">
        <v>10981</v>
      </c>
      <c r="AX16" s="583">
        <f>279.4-0.02</f>
        <v>279.38</v>
      </c>
      <c r="AY16" s="506">
        <f t="shared" si="20"/>
        <v>3067871.78</v>
      </c>
      <c r="AZ16" s="211"/>
      <c r="BA16" s="658">
        <v>10982</v>
      </c>
      <c r="BB16" s="659">
        <f>279.4-0.05</f>
        <v>279.35000000000002</v>
      </c>
      <c r="BC16" s="506">
        <f t="shared" si="21"/>
        <v>3067821.7</v>
      </c>
      <c r="BD16" s="211"/>
      <c r="BE16" s="211"/>
      <c r="BF16" s="211"/>
      <c r="BG16" s="194">
        <f t="shared" si="22"/>
        <v>361.88</v>
      </c>
      <c r="BH16" s="204">
        <f t="shared" si="23"/>
        <v>3973442.4</v>
      </c>
      <c r="BI16" s="211"/>
      <c r="BJ16" s="194">
        <f>AX16+BK10</f>
        <v>221.3</v>
      </c>
      <c r="BK16" s="204">
        <f t="shared" si="24"/>
        <v>2430095.2999999998</v>
      </c>
      <c r="BL16" s="211"/>
      <c r="BM16" s="194">
        <f t="shared" si="25"/>
        <v>177.05</v>
      </c>
      <c r="BN16" s="204">
        <f t="shared" si="26"/>
        <v>1944363.1</v>
      </c>
      <c r="BO16" s="176"/>
      <c r="BP16" s="211"/>
      <c r="BQ16" s="211"/>
      <c r="BR16" s="194">
        <f t="shared" si="27"/>
        <v>361.88</v>
      </c>
      <c r="BS16" s="204">
        <f t="shared" si="28"/>
        <v>3973442.4</v>
      </c>
      <c r="BT16" s="211"/>
      <c r="BU16" s="211"/>
      <c r="BV16" s="194">
        <f t="shared" si="58"/>
        <v>363.08</v>
      </c>
      <c r="BW16" s="204">
        <f t="shared" si="29"/>
        <v>3986618.4</v>
      </c>
      <c r="BX16" s="211"/>
      <c r="BY16" s="211"/>
      <c r="BZ16" s="194">
        <f t="shared" si="30"/>
        <v>371.45</v>
      </c>
      <c r="CA16" s="204">
        <f t="shared" si="31"/>
        <v>4078521</v>
      </c>
      <c r="CB16" s="211"/>
      <c r="CC16" s="211"/>
      <c r="CD16" s="503">
        <f>10116+11232</f>
        <v>21348</v>
      </c>
      <c r="CE16" s="505">
        <f>279.4+48.07+0.077442</f>
        <v>327.55</v>
      </c>
      <c r="CF16" s="198">
        <f t="shared" si="1"/>
        <v>6992537.4000000004</v>
      </c>
      <c r="CG16" s="211"/>
      <c r="CH16" s="718">
        <f>10981+10403</f>
        <v>21384</v>
      </c>
      <c r="CI16" s="655">
        <f>279.4-0.02+9.65</f>
        <v>289.02999999999997</v>
      </c>
      <c r="CJ16" s="198">
        <f t="shared" si="32"/>
        <v>6180617.5199999996</v>
      </c>
      <c r="CK16" s="211"/>
      <c r="CL16" s="719">
        <f>10982+10402</f>
        <v>21384</v>
      </c>
      <c r="CM16" s="720">
        <f>279.4-0.05+9.65</f>
        <v>289</v>
      </c>
      <c r="CN16" s="198">
        <f t="shared" si="33"/>
        <v>6179976</v>
      </c>
      <c r="CO16" s="211"/>
      <c r="CP16" s="211"/>
      <c r="CQ16" s="655">
        <f t="shared" si="34"/>
        <v>337.96</v>
      </c>
      <c r="CR16" s="198">
        <f t="shared" si="35"/>
        <v>7214770.0800000001</v>
      </c>
      <c r="CS16" s="211"/>
      <c r="CT16" s="211"/>
      <c r="CU16" s="211"/>
      <c r="CV16" s="655">
        <f t="shared" si="59"/>
        <v>329.84</v>
      </c>
      <c r="CW16" s="198">
        <f t="shared" si="36"/>
        <v>7041424.3200000003</v>
      </c>
      <c r="CX16" s="211"/>
      <c r="CY16" s="211"/>
      <c r="CZ16" s="196">
        <v>11772</v>
      </c>
      <c r="DA16" s="504">
        <v>266.25</v>
      </c>
      <c r="DB16" s="506">
        <f t="shared" si="2"/>
        <v>3134295</v>
      </c>
      <c r="DC16" s="176"/>
      <c r="DD16" s="176"/>
      <c r="DE16" s="329" t="s">
        <v>246</v>
      </c>
      <c r="DF16" s="330">
        <f>DF11+DF15</f>
        <v>45830885.5</v>
      </c>
      <c r="DG16" s="378">
        <v>266.25</v>
      </c>
      <c r="DH16" s="380">
        <f t="shared" si="37"/>
        <v>3134295</v>
      </c>
      <c r="DI16" s="176"/>
      <c r="DJ16" s="198">
        <v>3305215.15</v>
      </c>
      <c r="DK16" s="514" t="s">
        <v>373</v>
      </c>
      <c r="DL16" s="176"/>
      <c r="DM16" s="176"/>
      <c r="DN16" s="329" t="s">
        <v>246</v>
      </c>
      <c r="DO16" s="330">
        <f>DO11+DO15</f>
        <v>50368974.57</v>
      </c>
      <c r="DP16" s="524">
        <f>$DG$16+69.81</f>
        <v>336.06</v>
      </c>
      <c r="DQ16" s="380">
        <f t="shared" si="3"/>
        <v>3956098.32</v>
      </c>
      <c r="DR16" s="198">
        <v>3305215.15</v>
      </c>
      <c r="DS16" s="514" t="s">
        <v>373</v>
      </c>
      <c r="DT16" s="176"/>
      <c r="DU16" s="176"/>
      <c r="DV16" s="524">
        <f>$DG$16+70.74</f>
        <v>336.99</v>
      </c>
      <c r="DW16" s="380">
        <f t="shared" si="38"/>
        <v>3967046.28</v>
      </c>
      <c r="DX16" s="176"/>
      <c r="DY16" s="211"/>
      <c r="DZ16" s="211"/>
      <c r="EA16" s="329" t="s">
        <v>246</v>
      </c>
      <c r="EB16" s="330">
        <f>EB11+EB15</f>
        <v>52440014.130000003</v>
      </c>
      <c r="EC16" s="524">
        <f>$DG$16+70.74+25.8</f>
        <v>362.79</v>
      </c>
      <c r="ED16" s="380">
        <f>EC16*$CZ$16</f>
        <v>4270763.88</v>
      </c>
      <c r="EE16" s="198">
        <f>3305215.15+375000</f>
        <v>3680215.15</v>
      </c>
      <c r="EF16" s="514" t="s">
        <v>373</v>
      </c>
      <c r="EG16" s="522" t="s">
        <v>392</v>
      </c>
      <c r="EH16" s="548" t="s">
        <v>395</v>
      </c>
      <c r="EI16" s="549">
        <f>EI15+EI14</f>
        <v>52440014.130000003</v>
      </c>
      <c r="EJ16" s="188"/>
      <c r="EK16" s="543"/>
      <c r="EL16" s="543"/>
      <c r="EM16" s="329" t="s">
        <v>246</v>
      </c>
      <c r="EN16" s="330">
        <f>EN11+EN15</f>
        <v>52496455.93</v>
      </c>
      <c r="EO16" s="524">
        <f>$DG$16+70.74+25.8+0.88</f>
        <v>363.67</v>
      </c>
      <c r="EP16" s="380">
        <f>EO16*$CZ$16</f>
        <v>4281123.24</v>
      </c>
      <c r="EQ16" s="198">
        <f>3305215.15+375000</f>
        <v>3680215.15</v>
      </c>
      <c r="ER16" s="514" t="s">
        <v>373</v>
      </c>
      <c r="ES16" s="548" t="s">
        <v>395</v>
      </c>
      <c r="ET16" s="554">
        <f>ET15+ET14</f>
        <v>52496455.93</v>
      </c>
      <c r="EU16" s="188"/>
      <c r="EV16" s="556" t="s">
        <v>401</v>
      </c>
      <c r="EW16" s="556"/>
      <c r="EX16" s="329" t="s">
        <v>246</v>
      </c>
      <c r="EY16" s="330">
        <f>EY11+EY15</f>
        <v>52930724.07</v>
      </c>
      <c r="EZ16" s="524">
        <f>$DG$16+70.74+25.8+0.88</f>
        <v>363.67</v>
      </c>
      <c r="FA16" s="380">
        <f>EZ16*$CZ$16</f>
        <v>4281123.24</v>
      </c>
      <c r="FB16" s="198">
        <f>3305215.15+375000</f>
        <v>3680215.15</v>
      </c>
      <c r="FC16" s="514" t="s">
        <v>373</v>
      </c>
      <c r="FD16" s="548" t="s">
        <v>395</v>
      </c>
      <c r="FE16" s="554">
        <f>FE15+FE14</f>
        <v>52930724.07</v>
      </c>
      <c r="FF16" s="188"/>
      <c r="FG16" s="556" t="s">
        <v>401</v>
      </c>
      <c r="FH16" s="556"/>
      <c r="FI16" s="556"/>
      <c r="FJ16" s="569" t="s">
        <v>246</v>
      </c>
      <c r="FK16" s="570" t="e">
        <f>FK11+FK15</f>
        <v>#REF!</v>
      </c>
      <c r="FL16" s="524">
        <f>$DG$16+70.74+25.8+0.88+75.88</f>
        <v>439.55</v>
      </c>
      <c r="FM16" s="380">
        <f>FL16*$CZ$16</f>
        <v>5174382.5999999996</v>
      </c>
      <c r="FN16" s="565">
        <f>3305215.15+375000</f>
        <v>3680215.15</v>
      </c>
      <c r="FO16" s="566" t="s">
        <v>373</v>
      </c>
      <c r="FP16" s="573" t="s">
        <v>395</v>
      </c>
      <c r="FQ16" s="574" t="e">
        <f>FQ15+FQ14</f>
        <v>#REF!</v>
      </c>
      <c r="FR16" s="188"/>
      <c r="FS16" s="188"/>
      <c r="FT16" s="188"/>
      <c r="FU16" s="188"/>
      <c r="FV16" s="188"/>
      <c r="FW16" s="600" t="s">
        <v>431</v>
      </c>
      <c r="FX16" s="597">
        <f>11772-1944</f>
        <v>9828</v>
      </c>
      <c r="FY16" s="504">
        <f>363.67+263.61</f>
        <v>627.28</v>
      </c>
      <c r="FZ16" s="504">
        <f t="shared" si="4"/>
        <v>6164907.8399999999</v>
      </c>
      <c r="GA16" s="331">
        <f>266.25</f>
        <v>266.25</v>
      </c>
      <c r="GB16" s="592">
        <f>266.25+113.86</f>
        <v>380.11</v>
      </c>
      <c r="GC16" s="198">
        <f t="shared" si="39"/>
        <v>3735721.08</v>
      </c>
      <c r="GD16" s="215"/>
      <c r="GE16" s="176"/>
      <c r="GF16" s="176"/>
      <c r="GG16" s="176"/>
      <c r="GH16" s="644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T16" s="548" t="s">
        <v>395</v>
      </c>
      <c r="GU16" s="554">
        <f>GU15+GU14</f>
        <v>56226747.869999997</v>
      </c>
      <c r="GV16" s="188"/>
      <c r="GW16" s="556" t="s">
        <v>401</v>
      </c>
      <c r="GX16" s="556"/>
      <c r="GY16" s="325"/>
      <c r="GZ16" s="211"/>
      <c r="HA16" s="329" t="s">
        <v>119</v>
      </c>
      <c r="HB16" s="330">
        <f>HB11+HB15</f>
        <v>43571169</v>
      </c>
      <c r="HC16" s="378">
        <f t="shared" si="40"/>
        <v>56226766.807999998</v>
      </c>
      <c r="HD16" s="379" t="e">
        <f t="shared" si="41"/>
        <v>#VALUE!</v>
      </c>
      <c r="HE16" s="176"/>
      <c r="HF16" s="329" t="s">
        <v>119</v>
      </c>
      <c r="HG16" s="330">
        <f>HG11+HG15</f>
        <v>43689194.590000004</v>
      </c>
      <c r="HH16" s="378">
        <f t="shared" si="42"/>
        <v>56226768.715000004</v>
      </c>
      <c r="HI16" s="380" t="e">
        <f t="shared" si="43"/>
        <v>#VALUE!</v>
      </c>
      <c r="HJ16" s="176"/>
      <c r="HK16" s="329" t="s">
        <v>119</v>
      </c>
      <c r="HL16" s="330">
        <f>HL11+HL15</f>
        <v>44287827.590000004</v>
      </c>
      <c r="HM16" s="378">
        <f t="shared" si="44"/>
        <v>56226778.387999997</v>
      </c>
      <c r="HN16" s="380" t="e">
        <f t="shared" si="45"/>
        <v>#VALUE!</v>
      </c>
      <c r="HO16" s="176"/>
      <c r="HP16" s="176"/>
      <c r="HQ16" s="176"/>
      <c r="HR16" s="199"/>
      <c r="HS16" s="212"/>
      <c r="HT16" s="211"/>
      <c r="HU16" s="211"/>
      <c r="HV16" s="211"/>
      <c r="HW16" s="202"/>
      <c r="HX16" s="204"/>
      <c r="HY16" s="211"/>
      <c r="HZ16" s="215"/>
      <c r="IA16" s="202"/>
      <c r="IB16" s="204"/>
      <c r="IC16" s="176"/>
      <c r="ID16" s="211"/>
      <c r="IE16" s="202"/>
      <c r="IF16" s="204"/>
      <c r="IG16" s="211"/>
      <c r="IH16" s="211"/>
      <c r="II16" s="202"/>
      <c r="IJ16" s="205"/>
      <c r="IK16" s="194"/>
      <c r="IL16" s="211"/>
      <c r="IM16" s="211"/>
      <c r="IN16" s="202"/>
      <c r="IO16" s="205"/>
      <c r="IP16" s="194"/>
      <c r="IQ16" s="941"/>
      <c r="IR16" s="940"/>
      <c r="IS16" s="211"/>
      <c r="IT16" s="211"/>
      <c r="IU16" s="202"/>
      <c r="IV16" s="205"/>
      <c r="IW16" s="194"/>
      <c r="IX16" s="941"/>
      <c r="IY16" s="940"/>
      <c r="IZ16" s="211"/>
      <c r="JA16" s="211"/>
      <c r="JB16" s="216">
        <v>219.87</v>
      </c>
      <c r="JC16" s="208">
        <v>18540</v>
      </c>
      <c r="JD16" s="209">
        <v>193.36</v>
      </c>
      <c r="JE16" s="210">
        <v>3584894.4</v>
      </c>
      <c r="JF16" s="209">
        <f t="shared" si="11"/>
        <v>203.22</v>
      </c>
      <c r="JG16" s="210">
        <f t="shared" si="12"/>
        <v>3767689.73</v>
      </c>
      <c r="JH16" s="209">
        <f t="shared" si="13"/>
        <v>218.8</v>
      </c>
      <c r="JI16" s="210">
        <f t="shared" si="54"/>
        <v>4056600.73</v>
      </c>
      <c r="JJ16" s="209">
        <f t="shared" si="14"/>
        <v>219.42</v>
      </c>
      <c r="JK16" s="210">
        <f t="shared" si="55"/>
        <v>4067967.4</v>
      </c>
      <c r="JL16" s="209">
        <f t="shared" si="15"/>
        <v>219.87</v>
      </c>
      <c r="JM16" s="210">
        <f t="shared" si="56"/>
        <v>4076300.73</v>
      </c>
      <c r="JN16" s="486" t="s">
        <v>344</v>
      </c>
      <c r="JP16" s="217"/>
      <c r="JQ16" s="218"/>
      <c r="JR16" s="219"/>
      <c r="JS16" s="220"/>
      <c r="JT16" s="221"/>
      <c r="JU16" s="221"/>
      <c r="JV16" s="222"/>
      <c r="JW16" s="285" t="s">
        <v>345</v>
      </c>
      <c r="JX16" s="485" t="s">
        <v>346</v>
      </c>
      <c r="JY16" s="488" t="s">
        <v>347</v>
      </c>
      <c r="JZ16" s="285" t="s">
        <v>349</v>
      </c>
      <c r="KA16" s="285"/>
      <c r="KB16" s="285" t="s">
        <v>348</v>
      </c>
    </row>
    <row r="17" spans="1:288" ht="27" customHeight="1" x14ac:dyDescent="0.25">
      <c r="A17" s="223" t="s">
        <v>233</v>
      </c>
      <c r="B17" s="224" t="s">
        <v>234</v>
      </c>
      <c r="C17" s="144"/>
      <c r="D17" s="225">
        <f>SUM(D11:D16)</f>
        <v>165744</v>
      </c>
      <c r="E17" s="225">
        <f>SUM(E11:E16)</f>
        <v>68868</v>
      </c>
      <c r="F17" s="225">
        <f>SUM(F11:F16)</f>
        <v>68868</v>
      </c>
      <c r="G17" s="225">
        <f>SUM(G11:G16)</f>
        <v>165744</v>
      </c>
      <c r="H17" s="225">
        <f>SUM(H11:H16)</f>
        <v>165744</v>
      </c>
      <c r="I17" s="226">
        <f>J17/D17</f>
        <v>383.25</v>
      </c>
      <c r="J17" s="226">
        <f>SUM(J11:J16)</f>
        <v>63521860.509999998</v>
      </c>
      <c r="K17" s="226">
        <f>L17/G17</f>
        <v>341.24</v>
      </c>
      <c r="L17" s="226">
        <f>SUM(L11:L16)</f>
        <v>56558460</v>
      </c>
      <c r="M17" s="226">
        <f>N17/H17</f>
        <v>341.24</v>
      </c>
      <c r="N17" s="226">
        <f>SUM(N11:N16)</f>
        <v>56558460</v>
      </c>
      <c r="O17" s="227"/>
      <c r="P17" s="227"/>
      <c r="Q17" s="227"/>
      <c r="R17" s="798">
        <f>SUM(R11:R16)</f>
        <v>165744</v>
      </c>
      <c r="S17" s="589">
        <f>T17/R17</f>
        <v>341.24</v>
      </c>
      <c r="T17" s="589">
        <f>SUM(T11:T16)</f>
        <v>56558500</v>
      </c>
      <c r="U17" s="227"/>
      <c r="V17" s="589">
        <f>W17/R17</f>
        <v>382.35</v>
      </c>
      <c r="W17" s="589">
        <f>SUM(W11:W16)</f>
        <v>63371818.799999997</v>
      </c>
      <c r="X17" s="227">
        <f>W24-W18</f>
        <v>63371860.509999998</v>
      </c>
      <c r="Y17" s="801">
        <v>56558460</v>
      </c>
      <c r="Z17" s="227"/>
      <c r="AA17" s="227"/>
      <c r="AB17" s="227"/>
      <c r="AC17" s="227"/>
      <c r="AD17" s="227"/>
      <c r="AE17" s="227"/>
      <c r="AF17" s="791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670">
        <f>SUM(AS11:AS16)</f>
        <v>68868</v>
      </c>
      <c r="AT17" s="589">
        <f>AU17/AS17</f>
        <v>279.41000000000003</v>
      </c>
      <c r="AU17" s="589">
        <f>SUM(AU11:AU16)</f>
        <v>19242478.440000001</v>
      </c>
      <c r="AV17" s="227"/>
      <c r="AW17" s="654">
        <f>SUM(AW11:AW16)</f>
        <v>68873</v>
      </c>
      <c r="AX17" s="197">
        <f>AY17/AW17</f>
        <v>279.39</v>
      </c>
      <c r="AY17" s="589">
        <f>SUM(AY11:AY16)</f>
        <v>19242478.449999999</v>
      </c>
      <c r="AZ17" s="227"/>
      <c r="BA17" s="654">
        <f>SUM(BA11:BA16)</f>
        <v>68878</v>
      </c>
      <c r="BB17" s="197">
        <f>BC17/BA17</f>
        <v>279.37</v>
      </c>
      <c r="BC17" s="589">
        <f>SUM(BC11:BC16)</f>
        <v>19242478.43</v>
      </c>
      <c r="BD17" s="227"/>
      <c r="BE17" s="227"/>
      <c r="BF17" s="227"/>
      <c r="BG17" s="226">
        <f>BH17/AS17</f>
        <v>361.89</v>
      </c>
      <c r="BH17" s="226">
        <f>SUM(BH11:BH16)</f>
        <v>24922711.079999998</v>
      </c>
      <c r="BI17" s="195"/>
      <c r="BJ17" s="660">
        <f>BK17/AW17</f>
        <v>221.31100000000001</v>
      </c>
      <c r="BK17" s="226">
        <f>SUM(BK11:BK16)</f>
        <v>15242335.460000001</v>
      </c>
      <c r="BL17" s="227"/>
      <c r="BM17" s="226">
        <f>BN17/BA17</f>
        <v>177.07</v>
      </c>
      <c r="BN17" s="226">
        <f>SUM(BN11:BN16)</f>
        <v>12196260.880000001</v>
      </c>
      <c r="BO17" s="296"/>
      <c r="BP17" s="227"/>
      <c r="BQ17" s="227"/>
      <c r="BR17" s="226">
        <f>BS17/AS17</f>
        <v>361.89</v>
      </c>
      <c r="BS17" s="197">
        <f>SUM(BS11:BS16)</f>
        <v>24922711.079999998</v>
      </c>
      <c r="BT17" s="227"/>
      <c r="BU17" s="227"/>
      <c r="BV17" s="226">
        <f>BW17/AS17</f>
        <v>363.09</v>
      </c>
      <c r="BW17" s="197">
        <f>SUM(BW11:BW16)</f>
        <v>25005352.68</v>
      </c>
      <c r="BX17" s="227"/>
      <c r="BY17" s="227"/>
      <c r="BZ17" s="226">
        <f>CA17/AW17</f>
        <v>371.43</v>
      </c>
      <c r="CA17" s="197">
        <f>SUM(CA11:CA16)</f>
        <v>25581777.84</v>
      </c>
      <c r="CB17" s="227"/>
      <c r="CC17" s="227"/>
      <c r="CD17" s="721">
        <f>SUM(CD11:CD16)</f>
        <v>168508</v>
      </c>
      <c r="CE17" s="194">
        <f>CF17/CD17</f>
        <v>327.49</v>
      </c>
      <c r="CF17" s="331">
        <f>SUM(CF11:CF16)</f>
        <v>55185190.640000001</v>
      </c>
      <c r="CG17" s="227"/>
      <c r="CH17" s="657">
        <f>SUM(CH11:CH16)</f>
        <v>168551</v>
      </c>
      <c r="CI17" s="592">
        <f>CJ17/CH17</f>
        <v>289.04000000000002</v>
      </c>
      <c r="CJ17" s="585">
        <f>SUM(CJ11:CJ16)</f>
        <v>48718083.259999998</v>
      </c>
      <c r="CK17" s="227"/>
      <c r="CL17" s="657">
        <f>SUM(CL11:CL16)</f>
        <v>168558</v>
      </c>
      <c r="CM17" s="592">
        <f>CN17/CL17</f>
        <v>289.02999999999997</v>
      </c>
      <c r="CN17" s="585">
        <f>SUM(CN11:CN16)</f>
        <v>48718083.509999998</v>
      </c>
      <c r="CO17" s="227"/>
      <c r="CP17" s="227"/>
      <c r="CQ17" s="227"/>
      <c r="CR17" s="538">
        <f>SUM(CR11:CR16)</f>
        <v>56939358.920000002</v>
      </c>
      <c r="CS17" s="227"/>
      <c r="CT17" s="227"/>
      <c r="CU17" s="227"/>
      <c r="CV17" s="227"/>
      <c r="CW17" s="538">
        <f>SUM(CW11:CW16)</f>
        <v>55571073.960000001</v>
      </c>
      <c r="CX17" s="227"/>
      <c r="CY17" s="227"/>
      <c r="CZ17" s="503">
        <f>SUM(CZ11:CZ16)</f>
        <v>64152</v>
      </c>
      <c r="DA17" s="229">
        <f>DB17/CZ17</f>
        <v>266.70999999999998</v>
      </c>
      <c r="DB17" s="229">
        <f>SUM(DB11:DB16)</f>
        <v>17110135.800000001</v>
      </c>
      <c r="DC17" s="499"/>
      <c r="DD17" s="499"/>
      <c r="DE17" s="202"/>
      <c r="DF17" s="334"/>
      <c r="DG17" s="231"/>
      <c r="DH17" s="542">
        <f>SUM(DH11:DH16)</f>
        <v>17110135.800000001</v>
      </c>
      <c r="DI17" s="215"/>
      <c r="DJ17" s="202">
        <f>SUM(DJ11:DJ16)</f>
        <v>45830885.5</v>
      </c>
      <c r="DK17" s="202"/>
      <c r="DL17" s="499"/>
      <c r="DM17" s="517" t="s">
        <v>375</v>
      </c>
      <c r="DN17" s="515">
        <f>DO16-DF16</f>
        <v>4538089.07</v>
      </c>
      <c r="DO17" s="516"/>
      <c r="DP17" s="231"/>
      <c r="DQ17" s="228">
        <f>SUM(DQ11:DQ16)</f>
        <v>21588339.75</v>
      </c>
      <c r="DR17" s="198">
        <v>59869.07</v>
      </c>
      <c r="DS17" s="198" t="s">
        <v>374</v>
      </c>
      <c r="DT17" s="520">
        <f>DT14-DQ18</f>
        <v>21588323.710000001</v>
      </c>
      <c r="DU17" s="521" t="s">
        <v>379</v>
      </c>
      <c r="DV17" s="231"/>
      <c r="DW17" s="228">
        <f>SUM(DW11:DW16)</f>
        <v>21648208.82</v>
      </c>
      <c r="DX17" s="530">
        <f>DX15-DH17</f>
        <v>4538073.0199999996</v>
      </c>
      <c r="DY17" s="531">
        <f>DX17/CZ17</f>
        <v>70.739379999999997</v>
      </c>
      <c r="DZ17" s="536"/>
      <c r="EA17" s="515"/>
      <c r="EB17" s="516"/>
      <c r="EC17" s="537" t="s">
        <v>389</v>
      </c>
      <c r="ED17" s="228">
        <f>SUM(ED11:ED16)</f>
        <v>23284363.260000002</v>
      </c>
      <c r="EE17" s="198">
        <v>59869.07</v>
      </c>
      <c r="EF17" s="198" t="s">
        <v>374</v>
      </c>
      <c r="EG17" s="520">
        <f>EI14-ED18</f>
        <v>23284363.27</v>
      </c>
      <c r="EH17" s="521" t="s">
        <v>388</v>
      </c>
      <c r="EI17" s="521">
        <f>EK14-DW17</f>
        <v>1636154.45</v>
      </c>
      <c r="EJ17" s="550">
        <f>EI17/CZ17</f>
        <v>25.504339999999999</v>
      </c>
      <c r="EK17" s="521"/>
      <c r="EL17" s="521"/>
      <c r="EM17" s="515"/>
      <c r="EN17" s="516"/>
      <c r="EO17" s="559" t="s">
        <v>389</v>
      </c>
      <c r="EP17" s="228">
        <f>SUM(EP11:EP16)</f>
        <v>23340805.059999999</v>
      </c>
      <c r="EQ17" s="198">
        <v>59869.07</v>
      </c>
      <c r="ER17" s="198" t="s">
        <v>374</v>
      </c>
      <c r="ES17" s="520">
        <f>ET14-EP18</f>
        <v>23340805.07</v>
      </c>
      <c r="ET17" s="521" t="s">
        <v>388</v>
      </c>
      <c r="EU17" s="521">
        <f>ES17-ED17</f>
        <v>56441.81</v>
      </c>
      <c r="EV17" s="550">
        <f>EU17/$CZ$17</f>
        <v>0.87980999999999998</v>
      </c>
      <c r="EW17" s="550"/>
      <c r="EX17" s="515"/>
      <c r="EY17" s="516"/>
      <c r="EZ17" s="559" t="s">
        <v>389</v>
      </c>
      <c r="FA17" s="228">
        <f>SUM(FA11:FA16)</f>
        <v>23340805.059999999</v>
      </c>
      <c r="FB17" s="198">
        <v>59869.07</v>
      </c>
      <c r="FC17" s="198" t="s">
        <v>374</v>
      </c>
      <c r="FD17" s="520">
        <f>FE14-FA18</f>
        <v>23340805.07</v>
      </c>
      <c r="FE17" s="521" t="s">
        <v>388</v>
      </c>
      <c r="FF17" s="521"/>
      <c r="FG17" s="550">
        <f>FF17/$CZ$17</f>
        <v>0</v>
      </c>
      <c r="FH17" s="550"/>
      <c r="FI17" s="550"/>
      <c r="FJ17" s="515"/>
      <c r="FK17" s="516"/>
      <c r="FL17" s="559" t="s">
        <v>389</v>
      </c>
      <c r="FM17" s="228">
        <f>SUM(FM11:FM16)</f>
        <v>28209007.920000002</v>
      </c>
      <c r="FN17" s="565">
        <v>59869.07</v>
      </c>
      <c r="FO17" s="565" t="s">
        <v>374</v>
      </c>
      <c r="FP17" s="176"/>
      <c r="FQ17" s="176"/>
      <c r="FR17" s="176"/>
      <c r="FS17" s="176"/>
      <c r="FT17" s="176"/>
      <c r="FU17" s="176"/>
      <c r="FV17" s="215">
        <v>16358248.109999999</v>
      </c>
      <c r="FW17" s="215">
        <v>28209007.920000002</v>
      </c>
      <c r="FX17" s="598">
        <f>SUM(FX11:FX16)</f>
        <v>44956</v>
      </c>
      <c r="FY17" s="229">
        <f>FZ17/FX17</f>
        <v>627.48</v>
      </c>
      <c r="FZ17" s="589">
        <f>SUM(FZ11:FZ16)</f>
        <v>28209007.920000002</v>
      </c>
      <c r="GA17" s="331">
        <f>GC17/FX17</f>
        <v>380.6</v>
      </c>
      <c r="GB17" s="538">
        <f>GC17/FX17</f>
        <v>380.6</v>
      </c>
      <c r="GC17" s="229">
        <f>SUM(GC11:GC16)</f>
        <v>17110135.800000001</v>
      </c>
      <c r="GD17" s="215"/>
      <c r="GE17" s="474"/>
      <c r="GF17" s="215"/>
      <c r="GG17" s="215"/>
      <c r="GH17" s="215"/>
      <c r="GI17" s="643"/>
      <c r="GJ17" s="215"/>
      <c r="GK17" s="215"/>
      <c r="GL17" s="215"/>
      <c r="GM17" s="215"/>
      <c r="GN17" s="215"/>
      <c r="GO17" s="215"/>
      <c r="GP17" s="215"/>
      <c r="GQ17" s="215"/>
      <c r="GR17" s="215"/>
      <c r="GT17" s="520" t="e">
        <f>GU14-FM18</f>
        <v>#REF!</v>
      </c>
      <c r="GU17" s="521" t="s">
        <v>388</v>
      </c>
      <c r="GV17" s="521"/>
      <c r="GW17" s="550">
        <f>GV17/$CZ$17</f>
        <v>0</v>
      </c>
      <c r="GX17" s="550"/>
      <c r="GY17" s="328"/>
      <c r="GZ17" s="227"/>
      <c r="HA17" s="202"/>
      <c r="HB17" s="334"/>
      <c r="HC17" s="231"/>
      <c r="HD17" s="228" t="e">
        <f>SUM(HD11:HD16)</f>
        <v>#VALUE!</v>
      </c>
      <c r="HE17" s="215"/>
      <c r="HF17" s="202"/>
      <c r="HG17" s="334"/>
      <c r="HH17" s="231"/>
      <c r="HI17" s="228" t="e">
        <f>SUM(HI11:HI16)</f>
        <v>#VALUE!</v>
      </c>
      <c r="HJ17" s="215"/>
      <c r="HK17" s="202"/>
      <c r="HL17" s="334"/>
      <c r="HM17" s="231"/>
      <c r="HN17" s="228" t="e">
        <f>SUM(HN11:HN16)</f>
        <v>#VALUE!</v>
      </c>
      <c r="HO17" s="215"/>
      <c r="HP17" s="215"/>
      <c r="HQ17" s="215"/>
      <c r="HR17" s="228"/>
      <c r="HS17" s="228"/>
      <c r="HT17" s="227"/>
      <c r="HU17" s="229"/>
      <c r="HV17" s="230"/>
      <c r="HW17" s="231"/>
      <c r="HX17" s="228"/>
      <c r="HY17" s="227"/>
      <c r="HZ17" s="227"/>
      <c r="IA17" s="231"/>
      <c r="IB17" s="228"/>
      <c r="IC17" s="232"/>
      <c r="ID17" s="227"/>
      <c r="IE17" s="202"/>
      <c r="IF17" s="228"/>
      <c r="IG17" s="227"/>
      <c r="IH17" s="227"/>
      <c r="II17" s="202"/>
      <c r="IJ17" s="228"/>
      <c r="IK17" s="227"/>
      <c r="IL17" s="227"/>
      <c r="IM17" s="201"/>
      <c r="IN17" s="202"/>
      <c r="IO17" s="228"/>
      <c r="IP17" s="233"/>
      <c r="IQ17" s="941"/>
      <c r="IR17" s="940"/>
      <c r="IS17" s="227"/>
      <c r="IT17" s="201"/>
      <c r="IU17" s="202"/>
      <c r="IV17" s="228"/>
      <c r="IW17" s="233"/>
      <c r="IX17" s="941"/>
      <c r="IY17" s="940"/>
      <c r="IZ17" s="475"/>
      <c r="JA17" s="227"/>
      <c r="JB17" s="207">
        <v>231.71</v>
      </c>
      <c r="JC17" s="234">
        <f>SUM(JC11:JC16)</f>
        <v>114192</v>
      </c>
      <c r="JE17" s="235">
        <f>SUM(JE11:JE16)</f>
        <v>22642242.800000001</v>
      </c>
      <c r="JF17" s="207">
        <f>1388260+5445800+21848112</f>
        <v>28682172</v>
      </c>
      <c r="JG17" s="236">
        <f>SUM(JG11:JG16)+0.02</f>
        <v>23739014.800000001</v>
      </c>
      <c r="JH17" s="237"/>
      <c r="JI17" s="238">
        <f>SUM(JI11:JI16)+0.02</f>
        <v>25472480.800000001</v>
      </c>
      <c r="JJ17" s="239"/>
      <c r="JK17" s="236">
        <f>SUM(JK11:JK16)+0.02</f>
        <v>25540680.82</v>
      </c>
      <c r="JM17" s="236">
        <f>SUM(JM11:JM16)+0.02</f>
        <v>25590680.800000001</v>
      </c>
      <c r="JN17" s="487">
        <v>18070083</v>
      </c>
      <c r="JO17" s="240"/>
      <c r="JP17" s="241"/>
      <c r="JQ17" s="242"/>
      <c r="JR17" s="243"/>
      <c r="JS17" s="242"/>
      <c r="JT17" s="244"/>
      <c r="JU17" s="245"/>
      <c r="JV17" s="246"/>
      <c r="JW17" s="257">
        <v>15760300</v>
      </c>
      <c r="JX17" s="249">
        <v>2113170.35</v>
      </c>
      <c r="JY17" s="271">
        <f>JW17+JX17</f>
        <v>17873470.350000001</v>
      </c>
      <c r="JZ17" s="271">
        <f>JY17-J19</f>
        <v>17489742.670000002</v>
      </c>
      <c r="KA17" s="249">
        <f>JN17-JZ17</f>
        <v>580340.32999999996</v>
      </c>
      <c r="KB17" s="258">
        <f>KA17/D17</f>
        <v>3.5014258736364501</v>
      </c>
    </row>
    <row r="18" spans="1:288" ht="47.4" customHeight="1" x14ac:dyDescent="0.25">
      <c r="A18" s="191" t="s">
        <v>227</v>
      </c>
      <c r="B18" s="192" t="s">
        <v>236</v>
      </c>
      <c r="C18" s="144" t="s">
        <v>237</v>
      </c>
      <c r="D18" s="144">
        <v>2</v>
      </c>
      <c r="E18" s="144">
        <v>2</v>
      </c>
      <c r="F18" s="144">
        <v>2</v>
      </c>
      <c r="G18" s="144">
        <f>2-2</f>
        <v>0</v>
      </c>
      <c r="H18" s="144">
        <f>1-1</f>
        <v>0</v>
      </c>
      <c r="I18" s="194">
        <v>191863.84</v>
      </c>
      <c r="J18" s="194">
        <f>D18*I18</f>
        <v>383727.68</v>
      </c>
      <c r="K18" s="194">
        <v>191863.84</v>
      </c>
      <c r="L18" s="194">
        <f>G18*K18</f>
        <v>0</v>
      </c>
      <c r="M18" s="194">
        <v>191863.84</v>
      </c>
      <c r="N18" s="194">
        <f>H18*M18</f>
        <v>0</v>
      </c>
      <c r="O18" s="211"/>
      <c r="P18" s="211"/>
      <c r="Q18" s="211"/>
      <c r="R18" s="501">
        <v>0</v>
      </c>
      <c r="S18" s="204">
        <v>191863.84</v>
      </c>
      <c r="T18" s="204">
        <f>S18*R18</f>
        <v>0</v>
      </c>
      <c r="U18" s="793">
        <v>2</v>
      </c>
      <c r="V18" s="204">
        <v>191863.84</v>
      </c>
      <c r="W18" s="204">
        <f>V18*U18</f>
        <v>383727.68</v>
      </c>
      <c r="X18" s="211"/>
      <c r="Y18" s="211">
        <f>T17-Y17</f>
        <v>40</v>
      </c>
      <c r="Z18" s="802">
        <f>Y18/R13</f>
        <v>3.516E-3</v>
      </c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501">
        <v>4</v>
      </c>
      <c r="AT18" s="204">
        <v>191863.84</v>
      </c>
      <c r="AU18" s="204">
        <f>AT18*AS18-0.02</f>
        <v>767455.34</v>
      </c>
      <c r="AV18" s="211"/>
      <c r="AW18" s="177">
        <f>4-4</f>
        <v>0</v>
      </c>
      <c r="AX18" s="204">
        <f>191863.84-191863.84</f>
        <v>0</v>
      </c>
      <c r="AY18" s="204">
        <f>AW18*AX18</f>
        <v>0</v>
      </c>
      <c r="AZ18" s="211"/>
      <c r="BA18" s="177">
        <f>4-4</f>
        <v>0</v>
      </c>
      <c r="BB18" s="204">
        <f>191863.84-191863.84</f>
        <v>0</v>
      </c>
      <c r="BC18" s="204">
        <f>BA18*BB18</f>
        <v>0</v>
      </c>
      <c r="BD18" s="211"/>
      <c r="BE18" s="211"/>
      <c r="BF18" s="501">
        <v>4</v>
      </c>
      <c r="BG18" s="204">
        <v>191863.84</v>
      </c>
      <c r="BH18" s="204">
        <f>BG18*BF18-0.02</f>
        <v>767455.34</v>
      </c>
      <c r="BI18" s="211"/>
      <c r="BJ18" s="211"/>
      <c r="BK18" s="211"/>
      <c r="BL18" s="211"/>
      <c r="BM18" s="211"/>
      <c r="BN18" s="211"/>
      <c r="BO18" s="211"/>
      <c r="BP18" s="211"/>
      <c r="BQ18" s="501">
        <v>4</v>
      </c>
      <c r="BR18" s="204">
        <v>191863.84</v>
      </c>
      <c r="BS18" s="204">
        <f>BR18*BQ18-0.02</f>
        <v>767455.34</v>
      </c>
      <c r="BU18" s="211"/>
      <c r="BV18" s="204">
        <v>191863.84</v>
      </c>
      <c r="BW18" s="204">
        <f>BV18*BQ18-0.02</f>
        <v>767455.34</v>
      </c>
      <c r="BX18" s="211"/>
      <c r="BY18" s="211"/>
      <c r="BZ18" s="211"/>
      <c r="CA18" s="211"/>
      <c r="CB18" s="211"/>
      <c r="CC18" s="211"/>
      <c r="CD18" s="730">
        <v>4</v>
      </c>
      <c r="CE18" s="204">
        <v>191863.84</v>
      </c>
      <c r="CF18" s="202">
        <f>CE18*CD18-0.02</f>
        <v>767455.34</v>
      </c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04">
        <v>191863.84</v>
      </c>
      <c r="CR18" s="202">
        <f>CQ18*CD18-0.02</f>
        <v>767455.34</v>
      </c>
      <c r="CS18" s="211"/>
      <c r="CT18" s="211"/>
      <c r="CU18" s="211"/>
      <c r="CV18" s="204">
        <v>191863.84</v>
      </c>
      <c r="CW18" s="202">
        <f>CV18*CD18-0.02</f>
        <v>767455.34</v>
      </c>
      <c r="CX18" s="211"/>
      <c r="CY18" s="211"/>
      <c r="CZ18" s="501">
        <v>4</v>
      </c>
      <c r="DA18" s="204">
        <v>190837.65</v>
      </c>
      <c r="DB18" s="204">
        <f>DA18*CZ18</f>
        <v>763350.6</v>
      </c>
      <c r="DC18" s="176"/>
      <c r="DD18" s="176"/>
      <c r="DE18" s="176"/>
      <c r="DF18" s="176"/>
      <c r="DG18" s="204">
        <v>190837.65</v>
      </c>
      <c r="DH18" s="202">
        <f>DG18*CZ18</f>
        <v>763350.6</v>
      </c>
      <c r="DI18" s="176"/>
      <c r="DJ18" s="176"/>
      <c r="DK18" s="176"/>
      <c r="DL18" s="176"/>
      <c r="DM18" s="176"/>
      <c r="DN18" s="176"/>
      <c r="DO18" s="176">
        <v>190837.65</v>
      </c>
      <c r="DP18" s="203">
        <f>190837.65+4.0125</f>
        <v>190841.66</v>
      </c>
      <c r="DQ18" s="202">
        <f>DP18*CZ18</f>
        <v>763366.64</v>
      </c>
      <c r="DR18" s="176"/>
      <c r="DS18" s="176"/>
      <c r="DT18" s="176"/>
      <c r="DU18" s="176"/>
      <c r="DV18" s="176"/>
      <c r="DW18" s="176"/>
      <c r="DX18" s="176"/>
      <c r="DY18" s="211"/>
      <c r="DZ18" s="211"/>
      <c r="EA18" s="176"/>
      <c r="EB18" s="176">
        <v>190837.65</v>
      </c>
      <c r="EC18" s="203">
        <f>190837.65+4.0125</f>
        <v>190841.66</v>
      </c>
      <c r="ED18" s="202">
        <f>EC18*CZ18</f>
        <v>763366.64</v>
      </c>
      <c r="EE18" s="188" t="s">
        <v>390</v>
      </c>
      <c r="EF18" s="176"/>
      <c r="EG18" s="176"/>
      <c r="EH18" s="176"/>
      <c r="EI18" s="176"/>
      <c r="EJ18" s="176"/>
      <c r="EK18" s="176"/>
      <c r="EL18" s="176"/>
      <c r="EM18" s="176"/>
      <c r="EN18" s="176"/>
      <c r="EO18" s="203">
        <f>190837.65+4.0125</f>
        <v>190841.66</v>
      </c>
      <c r="EP18" s="202">
        <f>EO18*CZ18</f>
        <v>763366.64</v>
      </c>
      <c r="EQ18" s="188" t="s">
        <v>390</v>
      </c>
      <c r="ER18" s="176"/>
      <c r="ES18" s="176"/>
      <c r="ET18" s="176"/>
      <c r="EU18" s="176"/>
      <c r="EV18" s="176"/>
      <c r="EW18" s="176"/>
      <c r="EX18" s="176"/>
      <c r="EY18" s="176"/>
      <c r="EZ18" s="203">
        <f>190837.65+4.0125</f>
        <v>190841.66</v>
      </c>
      <c r="FA18" s="202">
        <f>EZ18*$CZ$18</f>
        <v>763366.64</v>
      </c>
      <c r="FB18" s="188" t="s">
        <v>390</v>
      </c>
      <c r="FC18" s="176"/>
      <c r="FD18" s="176"/>
      <c r="FE18" s="176"/>
      <c r="FF18" s="176"/>
      <c r="FG18" s="176"/>
      <c r="FH18" s="176"/>
      <c r="FI18" s="176"/>
      <c r="FJ18" s="176"/>
      <c r="FK18" s="176"/>
      <c r="FL18" s="229" t="e">
        <f>FM18/#REF!</f>
        <v>#REF!</v>
      </c>
      <c r="FM18" s="269" t="e">
        <f>SUM(#REF!)</f>
        <v>#REF!</v>
      </c>
      <c r="FN18" s="215"/>
      <c r="FO18" s="176"/>
      <c r="FP18" s="176"/>
      <c r="FQ18" s="176"/>
      <c r="FR18" s="176"/>
      <c r="FS18" s="176"/>
      <c r="FT18" s="176"/>
      <c r="FU18" s="176"/>
      <c r="FV18" s="176"/>
      <c r="FW18" s="176"/>
      <c r="FX18" s="501">
        <v>4</v>
      </c>
      <c r="FY18" s="204">
        <v>190841.66</v>
      </c>
      <c r="FZ18" s="202">
        <f>FY18*FX18+0.01</f>
        <v>763366.65</v>
      </c>
      <c r="GA18" s="176"/>
      <c r="GB18" s="204">
        <v>190837.65</v>
      </c>
      <c r="GC18" s="202">
        <f>GB18*FX18-0.02</f>
        <v>763350.58</v>
      </c>
      <c r="GD18" s="176"/>
      <c r="GE18" s="176"/>
      <c r="GF18" s="594"/>
      <c r="GG18" s="176"/>
      <c r="GH18" s="176"/>
      <c r="GI18" s="176"/>
      <c r="GJ18" s="176"/>
      <c r="GK18" s="176"/>
      <c r="GL18" s="176"/>
      <c r="GM18" s="176"/>
      <c r="GN18" s="176"/>
      <c r="GO18" s="176"/>
      <c r="GP18" s="176"/>
      <c r="GQ18" s="176"/>
      <c r="GR18" s="176"/>
      <c r="GT18" s="176"/>
      <c r="GU18" s="176"/>
      <c r="GV18" s="176"/>
      <c r="GW18" s="176"/>
      <c r="GX18" s="211"/>
      <c r="GY18" s="327"/>
      <c r="GZ18" s="451" t="e">
        <f>#REF!-#REF!</f>
        <v>#REF!</v>
      </c>
      <c r="HA18" s="462" t="e">
        <f>#REF!-#REF!</f>
        <v>#REF!</v>
      </c>
      <c r="HB18" s="326" t="e">
        <f>#REF!-#REF!</f>
        <v>#REF!</v>
      </c>
      <c r="HC18" s="326" t="e">
        <f>#REF!-#REF!</f>
        <v>#REF!</v>
      </c>
      <c r="HD18" s="326" t="e">
        <f>#REF!-#REF!</f>
        <v>#REF!</v>
      </c>
      <c r="HE18" s="452">
        <v>4334708.4000000004</v>
      </c>
      <c r="HF18" s="471" t="s">
        <v>327</v>
      </c>
      <c r="HG18" s="176"/>
      <c r="HH18" s="176"/>
      <c r="HI18" s="259"/>
      <c r="HJ18" s="259"/>
      <c r="HK18" s="259"/>
      <c r="HL18" s="259"/>
      <c r="HM18" s="259"/>
      <c r="HN18" s="259"/>
      <c r="HO18" s="259"/>
      <c r="HP18" s="259"/>
      <c r="HQ18" s="259"/>
      <c r="HR18" s="260"/>
      <c r="HS18" s="260"/>
      <c r="HT18" s="259"/>
      <c r="HU18" s="259"/>
      <c r="HV18" s="259"/>
      <c r="HW18" s="259"/>
      <c r="HX18" s="259"/>
      <c r="HY18" s="259"/>
      <c r="HZ18" s="259"/>
      <c r="IA18" s="259"/>
      <c r="IB18" s="259"/>
      <c r="IC18" s="259"/>
      <c r="ID18" s="259"/>
      <c r="IE18" s="259"/>
      <c r="IF18" s="259"/>
      <c r="IG18" s="259"/>
      <c r="IH18" s="259"/>
      <c r="II18" s="259"/>
      <c r="IJ18" s="259"/>
      <c r="IK18" s="259"/>
      <c r="IL18" s="259"/>
      <c r="IM18" s="259"/>
      <c r="IN18" s="259"/>
      <c r="IO18" s="259"/>
      <c r="IP18" s="259"/>
      <c r="IQ18" s="259"/>
      <c r="IR18" s="259"/>
      <c r="IS18" s="259"/>
      <c r="IT18" s="259"/>
      <c r="IU18" s="259"/>
      <c r="IV18" s="259"/>
      <c r="IW18" s="259"/>
      <c r="IX18" s="259"/>
      <c r="IY18" s="259"/>
      <c r="IZ18" s="259"/>
      <c r="JA18" s="259"/>
      <c r="JB18" s="25"/>
      <c r="JN18" s="489">
        <v>27957399.120000001</v>
      </c>
      <c r="JW18" s="257">
        <v>24652200</v>
      </c>
      <c r="JX18" s="180">
        <v>0</v>
      </c>
      <c r="JY18" s="257">
        <f>JW18</f>
        <v>24652200</v>
      </c>
      <c r="JZ18" s="257">
        <f>JN18-JY18</f>
        <v>3305199.12</v>
      </c>
      <c r="KA18" s="258" t="e">
        <f>JZ18/#REF!</f>
        <v>#REF!</v>
      </c>
    </row>
    <row r="19" spans="1:288" ht="30" customHeight="1" x14ac:dyDescent="0.25">
      <c r="A19" s="223" t="s">
        <v>238</v>
      </c>
      <c r="B19" s="224" t="s">
        <v>239</v>
      </c>
      <c r="C19" s="144"/>
      <c r="D19" s="261">
        <f>SUM(D18:D18)</f>
        <v>2</v>
      </c>
      <c r="E19" s="262">
        <f>SUM(E18:E18)</f>
        <v>2</v>
      </c>
      <c r="F19" s="262">
        <f>SUM(F18:F18)</f>
        <v>2</v>
      </c>
      <c r="G19" s="261">
        <f>SUM(G18:G18)</f>
        <v>0</v>
      </c>
      <c r="H19" s="261">
        <f>SUM(H18:H18)</f>
        <v>0</v>
      </c>
      <c r="I19" s="194">
        <f>I18</f>
        <v>191863.84</v>
      </c>
      <c r="J19" s="226">
        <f>SUM(J18:J18)</f>
        <v>383727.68</v>
      </c>
      <c r="K19" s="226">
        <f>K18</f>
        <v>191863.84</v>
      </c>
      <c r="L19" s="226">
        <f>SUM(L18:L18)</f>
        <v>0</v>
      </c>
      <c r="M19" s="194">
        <f>M18</f>
        <v>191863.84</v>
      </c>
      <c r="N19" s="226">
        <f>SUM(N18:N18)</f>
        <v>0</v>
      </c>
      <c r="O19" s="253"/>
      <c r="P19" s="253"/>
      <c r="Q19" s="253"/>
      <c r="R19" s="502"/>
      <c r="S19" s="202"/>
      <c r="T19" s="202">
        <f>T18+T17</f>
        <v>56558500</v>
      </c>
      <c r="U19" s="253"/>
      <c r="V19" s="202"/>
      <c r="W19" s="202">
        <f>W18+W17</f>
        <v>63755546.479999997</v>
      </c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53"/>
      <c r="AP19" s="253"/>
      <c r="AQ19" s="253"/>
      <c r="AR19" s="253"/>
      <c r="AS19" s="502"/>
      <c r="AT19" s="202"/>
      <c r="AU19" s="202">
        <f>AU18+AU17</f>
        <v>20009933.780000001</v>
      </c>
      <c r="AV19" s="253"/>
      <c r="AW19" s="652"/>
      <c r="AX19" s="226"/>
      <c r="AY19" s="202">
        <f>AY18+AY17</f>
        <v>19242478.449999999</v>
      </c>
      <c r="AZ19" s="253"/>
      <c r="BA19" s="253"/>
      <c r="BB19" s="253"/>
      <c r="BC19" s="202" t="e">
        <f>BC18+#REF!+BC17</f>
        <v>#REF!</v>
      </c>
      <c r="BD19" s="253"/>
      <c r="BE19" s="253"/>
      <c r="BF19" s="502"/>
      <c r="BG19" s="202"/>
      <c r="BH19" s="202">
        <f>BH18+BH17</f>
        <v>25690166.420000002</v>
      </c>
      <c r="BI19" s="253"/>
      <c r="BJ19" s="253"/>
      <c r="BK19" s="253"/>
      <c r="BL19" s="253"/>
      <c r="BM19" s="253"/>
      <c r="BN19" s="253"/>
      <c r="BO19" s="253"/>
      <c r="BP19" s="253"/>
      <c r="BQ19" s="502"/>
      <c r="BR19" s="202"/>
      <c r="BS19" s="197">
        <f>BS18+BS17</f>
        <v>25690166.420000002</v>
      </c>
      <c r="BU19" s="253"/>
      <c r="BV19" s="202"/>
      <c r="BW19" s="197">
        <f>BW18+BW17</f>
        <v>25772808.02</v>
      </c>
      <c r="BX19" s="253"/>
      <c r="BY19" s="253"/>
      <c r="BZ19" s="253"/>
      <c r="CA19" s="253"/>
      <c r="CB19" s="253"/>
      <c r="CC19" s="253"/>
      <c r="CD19" s="253"/>
      <c r="CE19" s="253"/>
      <c r="CF19" s="226">
        <f>CF17+CF18</f>
        <v>55952645.979999997</v>
      </c>
      <c r="CG19" s="215"/>
      <c r="CH19" s="215"/>
      <c r="CI19" s="215"/>
      <c r="CJ19" s="253"/>
      <c r="CK19" s="253"/>
      <c r="CL19" s="253"/>
      <c r="CM19" s="253"/>
      <c r="CN19" s="253"/>
      <c r="CO19" s="253"/>
      <c r="CP19" s="253"/>
      <c r="CQ19" s="253"/>
      <c r="CR19" s="574">
        <f>CR18+CR17</f>
        <v>57706814.259999998</v>
      </c>
      <c r="CS19" s="253"/>
      <c r="CT19" s="253"/>
      <c r="CU19" s="253"/>
      <c r="CV19" s="253"/>
      <c r="CW19" s="574">
        <f>CW18+CW17</f>
        <v>56338529.299999997</v>
      </c>
      <c r="CX19" s="253"/>
      <c r="CY19" s="253"/>
      <c r="CZ19" s="502">
        <v>4</v>
      </c>
      <c r="DA19" s="202"/>
      <c r="DB19" s="202"/>
      <c r="DC19" s="215"/>
      <c r="DD19" s="215"/>
      <c r="DE19" s="215"/>
      <c r="DF19" s="215"/>
      <c r="DG19" s="202"/>
      <c r="DH19" s="202" t="e">
        <f>DH18+#REF!+DH17</f>
        <v>#REF!</v>
      </c>
      <c r="DI19" s="215"/>
      <c r="DJ19" s="215"/>
      <c r="DK19" s="215"/>
      <c r="DL19" s="215"/>
      <c r="DM19" s="215"/>
      <c r="DN19" s="215"/>
      <c r="DO19" s="215"/>
      <c r="DP19" s="202"/>
      <c r="DQ19" s="228" t="e">
        <f>DQ18+#REF!+DQ17</f>
        <v>#REF!</v>
      </c>
      <c r="DR19" s="526" t="s">
        <v>380</v>
      </c>
      <c r="DS19" s="215"/>
      <c r="DT19" s="215"/>
      <c r="DU19" s="215"/>
      <c r="DV19" s="215"/>
      <c r="DW19" s="215"/>
      <c r="DX19" s="215"/>
      <c r="DY19" s="253"/>
      <c r="DZ19" s="253"/>
      <c r="EA19" s="215"/>
      <c r="EB19" s="215"/>
      <c r="EC19" s="202"/>
      <c r="ED19" s="228" t="e">
        <f>ED18+#REF!+ED17</f>
        <v>#REF!</v>
      </c>
      <c r="EE19" s="526" t="s">
        <v>397</v>
      </c>
      <c r="EF19" s="215"/>
      <c r="EG19" s="215"/>
      <c r="EH19" s="215"/>
      <c r="EI19" s="215"/>
      <c r="EJ19" s="215"/>
      <c r="EK19" s="215"/>
      <c r="EL19" s="215"/>
      <c r="EM19" s="215"/>
      <c r="EN19" s="215"/>
      <c r="EO19" s="202"/>
      <c r="EP19" s="228" t="e">
        <f>EP18+#REF!+EP17</f>
        <v>#REF!</v>
      </c>
      <c r="EQ19" s="526" t="s">
        <v>397</v>
      </c>
      <c r="ER19" s="215"/>
      <c r="ES19" s="215"/>
      <c r="ET19" s="215"/>
      <c r="EU19" s="215"/>
      <c r="EV19" s="215"/>
      <c r="EW19" s="215"/>
      <c r="EX19" s="215"/>
      <c r="EY19" s="215"/>
      <c r="EZ19" s="202"/>
      <c r="FA19" s="228" t="e">
        <f>FA18+#REF!+FA17</f>
        <v>#REF!</v>
      </c>
      <c r="FB19" s="526" t="s">
        <v>397</v>
      </c>
      <c r="FC19" s="215"/>
      <c r="FD19" s="215"/>
      <c r="FE19" s="215"/>
      <c r="FF19" s="215"/>
      <c r="FG19" s="215"/>
      <c r="FH19" s="215"/>
      <c r="FI19" s="215"/>
      <c r="FJ19" s="215"/>
      <c r="FK19" s="215"/>
      <c r="FL19" s="203">
        <f>190837.65+4.0125</f>
        <v>190841.66</v>
      </c>
      <c r="FM19" s="202">
        <f>FL19*$CZ$18</f>
        <v>763366.64</v>
      </c>
      <c r="FN19" s="188" t="s">
        <v>390</v>
      </c>
      <c r="FO19" s="215"/>
      <c r="FP19" s="215"/>
      <c r="FQ19" s="215"/>
      <c r="FR19" s="215"/>
      <c r="FS19" s="215"/>
      <c r="FT19" s="215"/>
      <c r="FU19" s="215"/>
      <c r="FV19" s="215"/>
      <c r="FW19" s="215"/>
      <c r="FX19" s="589" t="s">
        <v>301</v>
      </c>
      <c r="FY19" s="589"/>
      <c r="FZ19" s="589" t="e">
        <f>FZ17+#REF!+FZ18</f>
        <v>#REF!</v>
      </c>
      <c r="GA19" s="215"/>
      <c r="GB19" s="585" t="s">
        <v>301</v>
      </c>
      <c r="GC19" s="585" t="e">
        <f>GC17+#REF!+GC18-0.01</f>
        <v>#REF!</v>
      </c>
      <c r="GD19" s="215"/>
      <c r="GE19" s="215"/>
      <c r="GF19" s="215"/>
      <c r="GG19" s="215"/>
      <c r="GH19" s="215"/>
      <c r="GI19" s="215"/>
      <c r="GJ19" s="215"/>
      <c r="GK19" s="215"/>
      <c r="GL19" s="215"/>
      <c r="GM19" s="215"/>
      <c r="GN19" s="215"/>
      <c r="GO19" s="215"/>
      <c r="GP19" s="215"/>
      <c r="GQ19" s="215"/>
      <c r="GR19" s="215"/>
      <c r="GT19" s="215"/>
      <c r="GU19" s="215"/>
      <c r="GV19" s="215"/>
      <c r="GW19" s="215"/>
      <c r="GX19" s="253"/>
      <c r="GY19" s="456"/>
      <c r="GZ19" s="457">
        <v>71</v>
      </c>
      <c r="HA19" s="461">
        <v>6408</v>
      </c>
      <c r="HB19" s="256"/>
      <c r="HC19" s="256"/>
      <c r="HD19" s="453" t="s">
        <v>326</v>
      </c>
      <c r="HE19" s="236" t="e">
        <f>#REF!+HE18</f>
        <v>#REF!</v>
      </c>
      <c r="HF19" s="465" t="s">
        <v>320</v>
      </c>
      <c r="HG19" s="269" t="s">
        <v>323</v>
      </c>
      <c r="HH19" s="269" t="s">
        <v>324</v>
      </c>
      <c r="HI19" s="256"/>
      <c r="HJ19" s="256"/>
      <c r="HK19" s="256"/>
      <c r="HL19" s="256"/>
      <c r="HM19" s="256"/>
      <c r="HN19" s="256"/>
      <c r="HO19" s="256"/>
      <c r="HP19" s="256"/>
      <c r="HQ19" s="256"/>
      <c r="HR19" s="254"/>
      <c r="HS19" s="255">
        <f>HN19</f>
        <v>0</v>
      </c>
      <c r="HT19" s="256"/>
      <c r="HU19" s="256"/>
      <c r="HV19" s="256"/>
      <c r="HW19" s="256"/>
      <c r="HX19" s="256"/>
      <c r="HY19" s="256"/>
      <c r="HZ19" s="256"/>
      <c r="IA19" s="256"/>
      <c r="IB19" s="256"/>
      <c r="IC19" s="256"/>
      <c r="ID19" s="256"/>
      <c r="IE19" s="256"/>
      <c r="IF19" s="256"/>
      <c r="IG19" s="256"/>
      <c r="IH19" s="256"/>
      <c r="II19" s="256"/>
      <c r="IJ19" s="256"/>
      <c r="IK19" s="256"/>
      <c r="IL19" s="256"/>
      <c r="IM19" s="256"/>
      <c r="IN19" s="256"/>
      <c r="IO19" s="256"/>
      <c r="IP19" s="256"/>
      <c r="IQ19" s="256"/>
      <c r="IR19" s="256"/>
      <c r="IS19" s="256"/>
      <c r="IT19" s="256"/>
      <c r="IU19" s="256"/>
      <c r="IV19" s="256"/>
      <c r="IW19" s="256"/>
      <c r="IX19" s="256"/>
      <c r="IY19" s="256"/>
      <c r="IZ19" s="256"/>
      <c r="JA19" s="256"/>
      <c r="JB19" s="25"/>
      <c r="JE19" s="249"/>
      <c r="JF19" s="180"/>
      <c r="JG19" s="180"/>
      <c r="JH19" s="180"/>
      <c r="JI19" s="180" t="s">
        <v>240</v>
      </c>
      <c r="JJ19" s="180" t="s">
        <v>241</v>
      </c>
      <c r="JY19" s="257" t="e">
        <f>JY18-#REF!</f>
        <v>#REF!</v>
      </c>
      <c r="JZ19" s="258" t="e">
        <f>JY19/#REF!</f>
        <v>#REF!</v>
      </c>
    </row>
    <row r="20" spans="1:288" ht="22.95" hidden="1" customHeight="1" x14ac:dyDescent="0.25">
      <c r="A20" s="191" t="s">
        <v>227</v>
      </c>
      <c r="B20" s="192" t="s">
        <v>242</v>
      </c>
      <c r="C20" s="192" t="s">
        <v>130</v>
      </c>
      <c r="D20" s="192">
        <f>28+6</f>
        <v>34</v>
      </c>
      <c r="E20" s="192">
        <f>28+6</f>
        <v>34</v>
      </c>
      <c r="F20" s="192">
        <f>28+6</f>
        <v>34</v>
      </c>
      <c r="G20" s="192">
        <f>28+6</f>
        <v>34</v>
      </c>
      <c r="H20" s="192">
        <f>28+6</f>
        <v>34</v>
      </c>
      <c r="I20" s="263"/>
      <c r="J20" s="263"/>
      <c r="K20" s="263"/>
      <c r="L20" s="264"/>
      <c r="M20" s="264"/>
      <c r="N20" s="264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  <c r="AN20" s="265"/>
      <c r="AO20" s="265"/>
      <c r="AP20" s="265"/>
      <c r="AQ20" s="265"/>
      <c r="AR20" s="265"/>
      <c r="AS20" s="265"/>
      <c r="AT20" s="265"/>
      <c r="AU20" s="265"/>
      <c r="AV20" s="265"/>
      <c r="AW20" s="265"/>
      <c r="AX20" s="265"/>
      <c r="AY20" s="265"/>
      <c r="AZ20" s="265"/>
      <c r="BA20" s="265"/>
      <c r="BB20" s="265"/>
      <c r="BC20" s="265"/>
      <c r="BD20" s="265"/>
      <c r="BE20" s="265"/>
      <c r="BF20" s="265"/>
      <c r="BG20" s="265"/>
      <c r="BH20" s="265"/>
      <c r="BI20" s="265"/>
      <c r="BJ20" s="265"/>
      <c r="BK20" s="265"/>
      <c r="BL20" s="265"/>
      <c r="BM20" s="265"/>
      <c r="BN20" s="265"/>
      <c r="BO20" s="265"/>
      <c r="BP20" s="265"/>
      <c r="BQ20" s="265"/>
      <c r="BR20" s="265"/>
      <c r="BS20" s="265"/>
      <c r="BT20" s="265"/>
      <c r="BU20" s="265"/>
      <c r="BV20" s="265"/>
      <c r="BW20" s="265"/>
      <c r="BX20" s="265"/>
      <c r="BY20" s="265"/>
      <c r="BZ20" s="265"/>
      <c r="CA20" s="265"/>
      <c r="CB20" s="265"/>
      <c r="CC20" s="265"/>
      <c r="CD20" s="265"/>
      <c r="CE20" s="265"/>
      <c r="CF20" s="265"/>
      <c r="CG20" s="256"/>
      <c r="CH20" s="256"/>
      <c r="CI20" s="256"/>
      <c r="CJ20" s="265"/>
      <c r="CK20" s="265"/>
      <c r="CL20" s="265"/>
      <c r="CM20" s="265"/>
      <c r="CN20" s="265"/>
      <c r="CO20" s="265"/>
      <c r="CP20" s="265"/>
      <c r="CQ20" s="265"/>
      <c r="CR20" s="265"/>
      <c r="CS20" s="265"/>
      <c r="CT20" s="265"/>
      <c r="CU20" s="265"/>
      <c r="CV20" s="265"/>
      <c r="CW20" s="265"/>
      <c r="CX20" s="265"/>
      <c r="CY20" s="265"/>
      <c r="CZ20" s="256"/>
      <c r="DA20" s="256"/>
      <c r="DB20" s="256"/>
      <c r="DC20" s="256"/>
      <c r="DD20" s="256"/>
      <c r="DE20" s="256"/>
      <c r="DF20" s="256"/>
      <c r="DG20" s="256"/>
      <c r="DH20" s="256"/>
      <c r="DI20" s="256"/>
      <c r="DJ20" s="256"/>
      <c r="DK20" s="256"/>
      <c r="DL20" s="256"/>
      <c r="DM20" s="256"/>
      <c r="DN20" s="256"/>
      <c r="DO20" s="256"/>
      <c r="DP20" s="256"/>
      <c r="DQ20" s="256"/>
      <c r="DR20" s="256"/>
      <c r="DS20" s="256"/>
      <c r="DT20" s="256"/>
      <c r="DU20" s="256"/>
      <c r="DV20" s="256"/>
      <c r="DW20" s="256"/>
      <c r="DX20" s="256"/>
      <c r="DY20" s="265"/>
      <c r="DZ20" s="265"/>
      <c r="EA20" s="256"/>
      <c r="EB20" s="256"/>
      <c r="EC20" s="256"/>
      <c r="ED20" s="256"/>
      <c r="EE20" s="256"/>
      <c r="EF20" s="256"/>
      <c r="EG20" s="256"/>
      <c r="EH20" s="256"/>
      <c r="EI20" s="256"/>
      <c r="EJ20" s="256"/>
      <c r="EK20" s="256"/>
      <c r="EL20" s="256"/>
      <c r="EM20" s="256"/>
      <c r="EN20" s="256"/>
      <c r="EO20" s="256"/>
      <c r="EP20" s="256"/>
      <c r="EQ20" s="256"/>
      <c r="ER20" s="256"/>
      <c r="ES20" s="256"/>
      <c r="ET20" s="256"/>
      <c r="EU20" s="256"/>
      <c r="EV20" s="256"/>
      <c r="EW20" s="256"/>
      <c r="EX20" s="256"/>
      <c r="EY20" s="256"/>
      <c r="EZ20" s="256"/>
      <c r="FA20" s="256"/>
      <c r="FB20" s="256"/>
      <c r="FC20" s="256"/>
      <c r="FD20" s="256"/>
      <c r="FE20" s="256"/>
      <c r="FF20" s="256"/>
      <c r="FG20" s="256"/>
      <c r="FH20" s="256"/>
      <c r="FI20" s="256"/>
      <c r="FJ20" s="256"/>
      <c r="FK20" s="256"/>
      <c r="FL20" s="202"/>
      <c r="FM20" s="228" t="e">
        <f>FM19+FM18+#REF!</f>
        <v>#REF!</v>
      </c>
      <c r="FN20" s="526" t="s">
        <v>397</v>
      </c>
      <c r="FO20" s="256"/>
      <c r="FP20" s="256"/>
      <c r="FQ20" s="256"/>
      <c r="FR20" s="256"/>
      <c r="FS20" s="256"/>
      <c r="FT20" s="256"/>
      <c r="FU20" s="256"/>
      <c r="FV20" s="256"/>
      <c r="FW20" s="256"/>
      <c r="FX20" s="256"/>
      <c r="FY20" s="256"/>
      <c r="FZ20" s="256"/>
      <c r="GA20" s="256"/>
      <c r="GB20" s="256"/>
      <c r="GC20" s="256"/>
      <c r="GD20" s="256"/>
      <c r="GE20" s="256"/>
      <c r="GF20" s="256"/>
      <c r="GG20" s="256"/>
      <c r="GH20" s="256"/>
      <c r="GI20" s="256"/>
      <c r="GJ20" s="256"/>
      <c r="GK20" s="256"/>
      <c r="GL20" s="256"/>
      <c r="GM20" s="256"/>
      <c r="GN20" s="256"/>
      <c r="GO20" s="256"/>
      <c r="GP20" s="256"/>
      <c r="GQ20" s="256"/>
      <c r="GR20" s="256"/>
      <c r="GS20" s="256"/>
      <c r="GT20" s="256"/>
      <c r="GU20" s="256"/>
      <c r="GV20" s="256"/>
      <c r="GW20" s="256"/>
      <c r="GX20" s="265"/>
      <c r="GY20" s="256"/>
      <c r="GZ20" s="458" t="e">
        <f>#REF!+GZ19</f>
        <v>#REF!</v>
      </c>
      <c r="HA20" s="458" t="e">
        <f>#REF!+HA19</f>
        <v>#REF!</v>
      </c>
      <c r="HB20" s="256"/>
      <c r="HC20" s="256"/>
      <c r="HD20" s="256"/>
      <c r="HE20" s="256"/>
      <c r="HF20" s="465"/>
      <c r="HG20" s="465"/>
      <c r="HH20" s="465"/>
      <c r="HI20" s="256"/>
      <c r="HJ20" s="256"/>
      <c r="HK20" s="256"/>
      <c r="HL20" s="256"/>
      <c r="HM20" s="256"/>
      <c r="HN20" s="256"/>
      <c r="HO20" s="256"/>
      <c r="HP20" s="256"/>
      <c r="HQ20" s="256"/>
      <c r="HR20" s="256"/>
      <c r="HS20" s="256"/>
      <c r="HT20" s="256"/>
      <c r="HU20" s="256"/>
      <c r="HV20" s="256"/>
      <c r="HW20" s="256"/>
      <c r="HX20" s="256"/>
      <c r="HY20" s="256"/>
      <c r="HZ20" s="256"/>
      <c r="IA20" s="256"/>
      <c r="IB20" s="256"/>
      <c r="IC20" s="256"/>
      <c r="ID20" s="256"/>
      <c r="IE20" s="256"/>
      <c r="IF20" s="256"/>
      <c r="IG20" s="256"/>
      <c r="IH20" s="256"/>
      <c r="II20" s="256"/>
      <c r="IJ20" s="256"/>
      <c r="IK20" s="256"/>
      <c r="IL20" s="256"/>
      <c r="IM20" s="256"/>
      <c r="IN20" s="256"/>
      <c r="IO20" s="256"/>
      <c r="IP20" s="256"/>
      <c r="IQ20" s="256"/>
      <c r="IR20" s="256"/>
      <c r="IS20" s="256"/>
      <c r="IT20" s="256"/>
      <c r="IU20" s="256"/>
      <c r="IV20" s="256"/>
      <c r="IW20" s="256"/>
      <c r="IX20" s="256"/>
      <c r="IY20" s="256"/>
      <c r="IZ20" s="256"/>
      <c r="JA20" s="256"/>
    </row>
    <row r="21" spans="1:288" ht="22.95" hidden="1" customHeight="1" x14ac:dyDescent="0.25">
      <c r="A21" s="191"/>
      <c r="B21" s="192" t="s">
        <v>243</v>
      </c>
      <c r="C21" s="192" t="s">
        <v>130</v>
      </c>
      <c r="D21" s="192"/>
      <c r="E21" s="192"/>
      <c r="F21" s="192"/>
      <c r="G21" s="192"/>
      <c r="H21" s="192"/>
      <c r="I21" s="263"/>
      <c r="J21" s="263"/>
      <c r="K21" s="263"/>
      <c r="L21" s="264"/>
      <c r="M21" s="264"/>
      <c r="N21" s="264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  <c r="AJ21" s="265"/>
      <c r="AK21" s="265"/>
      <c r="AL21" s="265"/>
      <c r="AM21" s="265"/>
      <c r="AN21" s="265"/>
      <c r="AO21" s="265"/>
      <c r="AP21" s="265"/>
      <c r="AQ21" s="265"/>
      <c r="AR21" s="265"/>
      <c r="AS21" s="265"/>
      <c r="AT21" s="265"/>
      <c r="AU21" s="265"/>
      <c r="AV21" s="265"/>
      <c r="AW21" s="265"/>
      <c r="AX21" s="265"/>
      <c r="AY21" s="265"/>
      <c r="AZ21" s="265"/>
      <c r="BA21" s="265"/>
      <c r="BB21" s="265"/>
      <c r="BC21" s="265"/>
      <c r="BD21" s="265"/>
      <c r="BE21" s="265"/>
      <c r="BF21" s="265"/>
      <c r="BG21" s="265"/>
      <c r="BH21" s="265"/>
      <c r="BI21" s="265"/>
      <c r="BJ21" s="265"/>
      <c r="BK21" s="265"/>
      <c r="BL21" s="265"/>
      <c r="BM21" s="265"/>
      <c r="BN21" s="265"/>
      <c r="BO21" s="265"/>
      <c r="BP21" s="265"/>
      <c r="BQ21" s="265"/>
      <c r="BR21" s="265"/>
      <c r="BS21" s="265"/>
      <c r="BT21" s="265"/>
      <c r="BU21" s="265"/>
      <c r="BV21" s="265"/>
      <c r="BW21" s="265"/>
      <c r="BX21" s="265"/>
      <c r="BY21" s="265"/>
      <c r="BZ21" s="265"/>
      <c r="CA21" s="265"/>
      <c r="CB21" s="265"/>
      <c r="CC21" s="265"/>
      <c r="CD21" s="265"/>
      <c r="CE21" s="265"/>
      <c r="CF21" s="265"/>
      <c r="CG21" s="256"/>
      <c r="CH21" s="256"/>
      <c r="CI21" s="256"/>
      <c r="CJ21" s="265"/>
      <c r="CK21" s="265"/>
      <c r="CL21" s="265"/>
      <c r="CM21" s="265"/>
      <c r="CN21" s="265"/>
      <c r="CO21" s="265"/>
      <c r="CP21" s="265"/>
      <c r="CQ21" s="265"/>
      <c r="CR21" s="265"/>
      <c r="CS21" s="265"/>
      <c r="CT21" s="265"/>
      <c r="CU21" s="265"/>
      <c r="CV21" s="265"/>
      <c r="CW21" s="265"/>
      <c r="CX21" s="265"/>
      <c r="CY21" s="265"/>
      <c r="CZ21" s="256"/>
      <c r="DA21" s="256"/>
      <c r="DB21" s="256"/>
      <c r="DC21" s="256"/>
      <c r="DD21" s="256"/>
      <c r="DE21" s="256"/>
      <c r="DF21" s="256"/>
      <c r="DG21" s="256"/>
      <c r="DH21" s="256"/>
      <c r="DI21" s="256"/>
      <c r="DJ21" s="256"/>
      <c r="DK21" s="256"/>
      <c r="DL21" s="256"/>
      <c r="DM21" s="256"/>
      <c r="DN21" s="256"/>
      <c r="DO21" s="256"/>
      <c r="DP21" s="256"/>
      <c r="DQ21" s="256"/>
      <c r="DR21" s="256"/>
      <c r="DS21" s="256"/>
      <c r="DT21" s="256"/>
      <c r="DU21" s="256"/>
      <c r="DV21" s="256"/>
      <c r="DW21" s="256"/>
      <c r="DX21" s="256"/>
      <c r="DY21" s="265"/>
      <c r="DZ21" s="265"/>
      <c r="EA21" s="256"/>
      <c r="EB21" s="256"/>
      <c r="EC21" s="256"/>
      <c r="ED21" s="256"/>
      <c r="EE21" s="256"/>
      <c r="EF21" s="256"/>
      <c r="EG21" s="256"/>
      <c r="EH21" s="256"/>
      <c r="EI21" s="256"/>
      <c r="EJ21" s="256"/>
      <c r="EK21" s="256"/>
      <c r="EL21" s="256"/>
      <c r="EM21" s="256"/>
      <c r="EN21" s="256"/>
      <c r="EO21" s="256"/>
      <c r="EP21" s="256"/>
      <c r="EQ21" s="256"/>
      <c r="ER21" s="256"/>
      <c r="ES21" s="256"/>
      <c r="ET21" s="256"/>
      <c r="EU21" s="256"/>
      <c r="EV21" s="256"/>
      <c r="EW21" s="256"/>
      <c r="EX21" s="256"/>
      <c r="EY21" s="256"/>
      <c r="EZ21" s="256"/>
      <c r="FA21" s="256"/>
      <c r="FB21" s="256"/>
      <c r="FC21" s="256"/>
      <c r="FD21" s="256"/>
      <c r="FE21" s="256"/>
      <c r="FF21" s="256"/>
      <c r="FG21" s="256"/>
      <c r="FH21" s="256"/>
      <c r="FI21" s="256"/>
      <c r="FJ21" s="256"/>
      <c r="FK21" s="256"/>
      <c r="FL21" s="256"/>
      <c r="FM21" s="256"/>
      <c r="FN21" s="256"/>
      <c r="FO21" s="256"/>
      <c r="FP21" s="256"/>
      <c r="FQ21" s="256"/>
      <c r="FR21" s="256"/>
      <c r="FS21" s="256"/>
      <c r="FT21" s="256"/>
      <c r="FU21" s="256"/>
      <c r="FV21" s="256"/>
      <c r="FW21" s="256"/>
      <c r="FX21" s="256"/>
      <c r="FY21" s="256"/>
      <c r="FZ21" s="256"/>
      <c r="GA21" s="256"/>
      <c r="GB21" s="256"/>
      <c r="GC21" s="256"/>
      <c r="GD21" s="256"/>
      <c r="GE21" s="256"/>
      <c r="GF21" s="256"/>
      <c r="GG21" s="256"/>
      <c r="GH21" s="256"/>
      <c r="GI21" s="256"/>
      <c r="GJ21" s="256"/>
      <c r="GK21" s="256"/>
      <c r="GL21" s="256"/>
      <c r="GM21" s="256"/>
      <c r="GN21" s="256"/>
      <c r="GO21" s="256"/>
      <c r="GP21" s="256"/>
      <c r="GQ21" s="256"/>
      <c r="GR21" s="256"/>
      <c r="GS21" s="256"/>
      <c r="GT21" s="256"/>
      <c r="GU21" s="256"/>
      <c r="GV21" s="256"/>
      <c r="GW21" s="256"/>
      <c r="GX21" s="265"/>
      <c r="GY21" s="256"/>
      <c r="GZ21" s="256"/>
      <c r="HA21" s="256"/>
      <c r="HB21" s="256"/>
      <c r="HC21" s="256"/>
      <c r="HD21" s="256"/>
      <c r="HE21" s="256"/>
      <c r="HF21" s="465"/>
      <c r="HG21" s="465"/>
      <c r="HH21" s="465"/>
      <c r="HI21" s="256"/>
      <c r="HJ21" s="256"/>
      <c r="HK21" s="256"/>
      <c r="HL21" s="256"/>
      <c r="HM21" s="256"/>
      <c r="HN21" s="256"/>
      <c r="HO21" s="256"/>
      <c r="HP21" s="256"/>
      <c r="HQ21" s="256"/>
      <c r="HR21" s="256"/>
      <c r="HS21" s="256"/>
      <c r="HT21" s="256"/>
      <c r="HU21" s="256"/>
      <c r="HV21" s="256"/>
      <c r="HW21" s="256"/>
      <c r="HX21" s="256"/>
      <c r="HY21" s="256"/>
      <c r="HZ21" s="256"/>
      <c r="IA21" s="256"/>
      <c r="IB21" s="256"/>
      <c r="IC21" s="256"/>
      <c r="ID21" s="256"/>
      <c r="IE21" s="256"/>
      <c r="IF21" s="256"/>
      <c r="IG21" s="256"/>
      <c r="IH21" s="256"/>
      <c r="II21" s="256"/>
      <c r="IJ21" s="256"/>
      <c r="IK21" s="256"/>
      <c r="IL21" s="256"/>
      <c r="IM21" s="256"/>
      <c r="IN21" s="256"/>
      <c r="IO21" s="256"/>
      <c r="IP21" s="256"/>
      <c r="IQ21" s="256"/>
      <c r="IR21" s="256"/>
      <c r="IS21" s="256"/>
      <c r="IT21" s="256"/>
      <c r="IU21" s="256"/>
      <c r="IV21" s="256"/>
      <c r="IW21" s="256"/>
      <c r="IX21" s="256"/>
      <c r="IY21" s="256"/>
      <c r="IZ21" s="256"/>
      <c r="JA21" s="256"/>
    </row>
    <row r="22" spans="1:288" ht="18" hidden="1" customHeight="1" x14ac:dyDescent="0.25">
      <c r="A22" s="191"/>
      <c r="B22" s="192" t="s">
        <v>244</v>
      </c>
      <c r="C22" s="192" t="s">
        <v>130</v>
      </c>
      <c r="D22" s="192">
        <f>21+11</f>
        <v>32</v>
      </c>
      <c r="E22" s="192">
        <f t="shared" ref="E22:H23" si="61">21+11</f>
        <v>32</v>
      </c>
      <c r="F22" s="192">
        <f t="shared" si="61"/>
        <v>32</v>
      </c>
      <c r="G22" s="192">
        <f t="shared" si="61"/>
        <v>32</v>
      </c>
      <c r="H22" s="192">
        <f t="shared" si="61"/>
        <v>32</v>
      </c>
      <c r="I22" s="263"/>
      <c r="J22" s="263"/>
      <c r="K22" s="263"/>
      <c r="L22" s="264"/>
      <c r="M22" s="264"/>
      <c r="N22" s="264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5"/>
      <c r="AK22" s="265"/>
      <c r="AL22" s="265"/>
      <c r="AM22" s="265"/>
      <c r="AN22" s="265"/>
      <c r="AO22" s="265"/>
      <c r="AP22" s="265"/>
      <c r="AQ22" s="265"/>
      <c r="AR22" s="265"/>
      <c r="AS22" s="265"/>
      <c r="AT22" s="265"/>
      <c r="AU22" s="265"/>
      <c r="AV22" s="265"/>
      <c r="AW22" s="265"/>
      <c r="AX22" s="265"/>
      <c r="AY22" s="265"/>
      <c r="AZ22" s="265"/>
      <c r="BA22" s="265"/>
      <c r="BB22" s="265"/>
      <c r="BC22" s="265"/>
      <c r="BD22" s="265"/>
      <c r="BE22" s="265"/>
      <c r="BF22" s="265"/>
      <c r="BG22" s="265"/>
      <c r="BH22" s="265"/>
      <c r="BI22" s="265"/>
      <c r="BJ22" s="265"/>
      <c r="BK22" s="265"/>
      <c r="BL22" s="265"/>
      <c r="BM22" s="265"/>
      <c r="BN22" s="265"/>
      <c r="BO22" s="265"/>
      <c r="BP22" s="265"/>
      <c r="BQ22" s="265"/>
      <c r="BR22" s="265"/>
      <c r="BS22" s="265"/>
      <c r="BT22" s="265"/>
      <c r="BU22" s="265"/>
      <c r="BV22" s="265"/>
      <c r="BW22" s="265"/>
      <c r="BX22" s="265"/>
      <c r="BY22" s="265"/>
      <c r="BZ22" s="265"/>
      <c r="CA22" s="265"/>
      <c r="CB22" s="265"/>
      <c r="CC22" s="265"/>
      <c r="CD22" s="265"/>
      <c r="CE22" s="265"/>
      <c r="CF22" s="265"/>
      <c r="CG22" s="256"/>
      <c r="CH22" s="256"/>
      <c r="CI22" s="256"/>
      <c r="CJ22" s="265"/>
      <c r="CK22" s="265"/>
      <c r="CL22" s="265"/>
      <c r="CM22" s="265"/>
      <c r="CN22" s="265"/>
      <c r="CO22" s="265"/>
      <c r="CP22" s="265"/>
      <c r="CQ22" s="265"/>
      <c r="CR22" s="265"/>
      <c r="CS22" s="265"/>
      <c r="CT22" s="265"/>
      <c r="CU22" s="265"/>
      <c r="CV22" s="265"/>
      <c r="CW22" s="265"/>
      <c r="CX22" s="265"/>
      <c r="CY22" s="265"/>
      <c r="CZ22" s="256"/>
      <c r="DA22" s="256"/>
      <c r="DB22" s="256"/>
      <c r="DC22" s="256"/>
      <c r="DD22" s="256"/>
      <c r="DE22" s="256"/>
      <c r="DF22" s="256"/>
      <c r="DG22" s="256"/>
      <c r="DH22" s="256"/>
      <c r="DI22" s="256"/>
      <c r="DJ22" s="256"/>
      <c r="DK22" s="256"/>
      <c r="DL22" s="256"/>
      <c r="DM22" s="256"/>
      <c r="DN22" s="256"/>
      <c r="DO22" s="256"/>
      <c r="DP22" s="256"/>
      <c r="DQ22" s="256"/>
      <c r="DR22" s="256"/>
      <c r="DS22" s="256"/>
      <c r="DT22" s="256"/>
      <c r="DU22" s="256"/>
      <c r="DV22" s="256"/>
      <c r="DW22" s="256"/>
      <c r="DX22" s="256"/>
      <c r="DY22" s="265"/>
      <c r="DZ22" s="265"/>
      <c r="EA22" s="256"/>
      <c r="EB22" s="256"/>
      <c r="EC22" s="256"/>
      <c r="ED22" s="256"/>
      <c r="EE22" s="256"/>
      <c r="EF22" s="256"/>
      <c r="EG22" s="256"/>
      <c r="EH22" s="256"/>
      <c r="EI22" s="256"/>
      <c r="EJ22" s="256"/>
      <c r="EK22" s="256"/>
      <c r="EL22" s="256"/>
      <c r="EM22" s="256"/>
      <c r="EN22" s="256"/>
      <c r="EO22" s="256"/>
      <c r="EP22" s="256"/>
      <c r="EQ22" s="256"/>
      <c r="ER22" s="256"/>
      <c r="ES22" s="256"/>
      <c r="ET22" s="256"/>
      <c r="EU22" s="256"/>
      <c r="EV22" s="256"/>
      <c r="EW22" s="256"/>
      <c r="EX22" s="256"/>
      <c r="EY22" s="256"/>
      <c r="EZ22" s="256"/>
      <c r="FA22" s="256"/>
      <c r="FB22" s="256"/>
      <c r="FC22" s="256"/>
      <c r="FD22" s="256"/>
      <c r="FE22" s="256"/>
      <c r="FF22" s="256"/>
      <c r="FG22" s="256"/>
      <c r="FH22" s="256"/>
      <c r="FI22" s="256"/>
      <c r="FJ22" s="256"/>
      <c r="FK22" s="256"/>
      <c r="FL22" s="256"/>
      <c r="FM22" s="256"/>
      <c r="FN22" s="256"/>
      <c r="FO22" s="256"/>
      <c r="FP22" s="256"/>
      <c r="FQ22" s="256"/>
      <c r="FR22" s="256"/>
      <c r="FS22" s="256"/>
      <c r="FT22" s="256"/>
      <c r="FU22" s="256"/>
      <c r="FV22" s="256"/>
      <c r="FW22" s="256"/>
      <c r="FX22" s="256"/>
      <c r="FY22" s="256"/>
      <c r="FZ22" s="256"/>
      <c r="GA22" s="256"/>
      <c r="GB22" s="256"/>
      <c r="GC22" s="256"/>
      <c r="GD22" s="256"/>
      <c r="GE22" s="256"/>
      <c r="GF22" s="256"/>
      <c r="GG22" s="256"/>
      <c r="GH22" s="256"/>
      <c r="GI22" s="256"/>
      <c r="GJ22" s="256"/>
      <c r="GK22" s="256"/>
      <c r="GL22" s="256"/>
      <c r="GM22" s="256"/>
      <c r="GN22" s="256"/>
      <c r="GO22" s="256"/>
      <c r="GP22" s="256"/>
      <c r="GQ22" s="256"/>
      <c r="GR22" s="256"/>
      <c r="GS22" s="256"/>
      <c r="GT22" s="256"/>
      <c r="GU22" s="256"/>
      <c r="GV22" s="256"/>
      <c r="GW22" s="256"/>
      <c r="GX22" s="265"/>
      <c r="GY22" s="256"/>
      <c r="GZ22" s="256"/>
      <c r="HA22" s="256"/>
      <c r="HB22" s="256"/>
      <c r="HC22" s="256"/>
      <c r="HD22" s="256"/>
      <c r="HE22" s="256"/>
      <c r="HF22" s="465"/>
      <c r="HG22" s="465"/>
      <c r="HH22" s="465"/>
      <c r="HI22" s="256"/>
      <c r="HJ22" s="256"/>
      <c r="HK22" s="256"/>
      <c r="HL22" s="256"/>
      <c r="HM22" s="256"/>
      <c r="HN22" s="256"/>
      <c r="HO22" s="256"/>
      <c r="HP22" s="256"/>
      <c r="HQ22" s="256"/>
      <c r="HR22" s="256"/>
      <c r="HS22" s="256"/>
      <c r="HT22" s="256"/>
      <c r="HU22" s="256"/>
      <c r="HV22" s="256"/>
      <c r="HW22" s="256"/>
      <c r="HX22" s="256"/>
      <c r="HY22" s="256"/>
      <c r="HZ22" s="256"/>
      <c r="IA22" s="256"/>
      <c r="IB22" s="256"/>
      <c r="IC22" s="256"/>
      <c r="ID22" s="256"/>
      <c r="IE22" s="256"/>
      <c r="IF22" s="256"/>
      <c r="IG22" s="256"/>
      <c r="IH22" s="256"/>
      <c r="II22" s="256"/>
      <c r="IJ22" s="256"/>
      <c r="IK22" s="256"/>
      <c r="IL22" s="256"/>
      <c r="IM22" s="256"/>
      <c r="IN22" s="256"/>
      <c r="IO22" s="256"/>
      <c r="IP22" s="256"/>
      <c r="IQ22" s="256"/>
      <c r="IR22" s="256"/>
      <c r="IS22" s="256"/>
      <c r="IT22" s="256"/>
      <c r="IU22" s="256"/>
      <c r="IV22" s="256"/>
      <c r="IW22" s="256"/>
      <c r="IX22" s="256"/>
      <c r="IY22" s="256"/>
      <c r="IZ22" s="256"/>
      <c r="JA22" s="256"/>
    </row>
    <row r="23" spans="1:288" ht="13.95" hidden="1" customHeight="1" x14ac:dyDescent="0.25">
      <c r="A23" s="192"/>
      <c r="B23" s="192" t="s">
        <v>245</v>
      </c>
      <c r="C23" s="192" t="s">
        <v>130</v>
      </c>
      <c r="D23" s="192">
        <f>21+11</f>
        <v>32</v>
      </c>
      <c r="E23" s="192">
        <f t="shared" si="61"/>
        <v>32</v>
      </c>
      <c r="F23" s="192">
        <f t="shared" si="61"/>
        <v>32</v>
      </c>
      <c r="G23" s="192">
        <f t="shared" si="61"/>
        <v>32</v>
      </c>
      <c r="H23" s="192">
        <f t="shared" si="61"/>
        <v>32</v>
      </c>
      <c r="I23" s="263"/>
      <c r="J23" s="263"/>
      <c r="K23" s="263"/>
      <c r="L23" s="264">
        <f>J23</f>
        <v>0</v>
      </c>
      <c r="M23" s="264"/>
      <c r="N23" s="264">
        <f>L23</f>
        <v>0</v>
      </c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  <c r="AJ23" s="265"/>
      <c r="AK23" s="265"/>
      <c r="AL23" s="265"/>
      <c r="AM23" s="265"/>
      <c r="AN23" s="265"/>
      <c r="AO23" s="265"/>
      <c r="AP23" s="265"/>
      <c r="AQ23" s="265"/>
      <c r="AR23" s="265"/>
      <c r="AS23" s="265"/>
      <c r="AT23" s="265"/>
      <c r="AU23" s="265"/>
      <c r="AV23" s="265"/>
      <c r="AW23" s="265"/>
      <c r="AX23" s="265"/>
      <c r="AY23" s="265"/>
      <c r="AZ23" s="265"/>
      <c r="BA23" s="265"/>
      <c r="BB23" s="265"/>
      <c r="BC23" s="265"/>
      <c r="BD23" s="265"/>
      <c r="BE23" s="265"/>
      <c r="BF23" s="265"/>
      <c r="BG23" s="265"/>
      <c r="BH23" s="265"/>
      <c r="BI23" s="265"/>
      <c r="BJ23" s="265"/>
      <c r="BK23" s="265"/>
      <c r="BL23" s="265"/>
      <c r="BM23" s="265"/>
      <c r="BN23" s="265"/>
      <c r="BO23" s="265"/>
      <c r="BP23" s="265"/>
      <c r="BQ23" s="265"/>
      <c r="BR23" s="265"/>
      <c r="BS23" s="265"/>
      <c r="BT23" s="265"/>
      <c r="BU23" s="265"/>
      <c r="BV23" s="265"/>
      <c r="BW23" s="265"/>
      <c r="BX23" s="265"/>
      <c r="BY23" s="265"/>
      <c r="BZ23" s="265"/>
      <c r="CA23" s="265"/>
      <c r="CB23" s="265"/>
      <c r="CC23" s="265"/>
      <c r="CD23" s="265"/>
      <c r="CE23" s="265"/>
      <c r="CF23" s="265"/>
      <c r="CG23" s="256"/>
      <c r="CH23" s="256"/>
      <c r="CI23" s="256"/>
      <c r="CJ23" s="265"/>
      <c r="CK23" s="265"/>
      <c r="CL23" s="265"/>
      <c r="CM23" s="265"/>
      <c r="CN23" s="265"/>
      <c r="CO23" s="265"/>
      <c r="CP23" s="265"/>
      <c r="CQ23" s="265"/>
      <c r="CR23" s="265"/>
      <c r="CS23" s="265"/>
      <c r="CT23" s="265"/>
      <c r="CU23" s="265"/>
      <c r="CV23" s="265"/>
      <c r="CW23" s="265"/>
      <c r="CX23" s="265"/>
      <c r="CY23" s="265"/>
      <c r="CZ23" s="256"/>
      <c r="DA23" s="256"/>
      <c r="DB23" s="256"/>
      <c r="DC23" s="256"/>
      <c r="DD23" s="256"/>
      <c r="DE23" s="256"/>
      <c r="DF23" s="256"/>
      <c r="DG23" s="256"/>
      <c r="DH23" s="256"/>
      <c r="DI23" s="256"/>
      <c r="DJ23" s="256"/>
      <c r="DK23" s="256"/>
      <c r="DL23" s="256"/>
      <c r="DM23" s="256"/>
      <c r="DN23" s="256"/>
      <c r="DO23" s="256"/>
      <c r="DP23" s="256"/>
      <c r="DQ23" s="256"/>
      <c r="DR23" s="256"/>
      <c r="DS23" s="256"/>
      <c r="DT23" s="256"/>
      <c r="DU23" s="256"/>
      <c r="DV23" s="256"/>
      <c r="DW23" s="256"/>
      <c r="DX23" s="256"/>
      <c r="DY23" s="265"/>
      <c r="DZ23" s="265"/>
      <c r="EA23" s="256"/>
      <c r="EB23" s="256"/>
      <c r="EC23" s="256"/>
      <c r="ED23" s="256"/>
      <c r="EE23" s="256"/>
      <c r="EF23" s="256"/>
      <c r="EG23" s="256"/>
      <c r="EH23" s="256"/>
      <c r="EI23" s="256"/>
      <c r="EJ23" s="256"/>
      <c r="EK23" s="256"/>
      <c r="EL23" s="256"/>
      <c r="EM23" s="256"/>
      <c r="EN23" s="256"/>
      <c r="EO23" s="256"/>
      <c r="EP23" s="256"/>
      <c r="EQ23" s="256"/>
      <c r="ER23" s="256"/>
      <c r="ES23" s="256"/>
      <c r="ET23" s="256"/>
      <c r="EU23" s="256"/>
      <c r="EV23" s="256"/>
      <c r="EW23" s="256"/>
      <c r="EX23" s="256"/>
      <c r="EY23" s="256"/>
      <c r="EZ23" s="256"/>
      <c r="FA23" s="256"/>
      <c r="FB23" s="256"/>
      <c r="FC23" s="256"/>
      <c r="FD23" s="256"/>
      <c r="FE23" s="256"/>
      <c r="FF23" s="256"/>
      <c r="FG23" s="256"/>
      <c r="FH23" s="256"/>
      <c r="FI23" s="256"/>
      <c r="FJ23" s="256"/>
      <c r="FK23" s="256"/>
      <c r="FL23" s="256"/>
      <c r="FM23" s="256"/>
      <c r="FN23" s="256"/>
      <c r="FO23" s="256"/>
      <c r="FP23" s="256"/>
      <c r="FQ23" s="256"/>
      <c r="FR23" s="256"/>
      <c r="FS23" s="256"/>
      <c r="FT23" s="256"/>
      <c r="FU23" s="256"/>
      <c r="FV23" s="256"/>
      <c r="FW23" s="256"/>
      <c r="FX23" s="256"/>
      <c r="FY23" s="256"/>
      <c r="FZ23" s="256"/>
      <c r="GA23" s="256"/>
      <c r="GB23" s="256"/>
      <c r="GC23" s="256"/>
      <c r="GD23" s="256"/>
      <c r="GE23" s="256"/>
      <c r="GF23" s="256"/>
      <c r="GG23" s="256"/>
      <c r="GH23" s="256"/>
      <c r="GI23" s="256"/>
      <c r="GJ23" s="256"/>
      <c r="GK23" s="256"/>
      <c r="GL23" s="256"/>
      <c r="GM23" s="256"/>
      <c r="GN23" s="256"/>
      <c r="GO23" s="256"/>
      <c r="GP23" s="256"/>
      <c r="GQ23" s="256"/>
      <c r="GR23" s="256"/>
      <c r="GS23" s="256"/>
      <c r="GT23" s="256"/>
      <c r="GU23" s="256"/>
      <c r="GV23" s="256"/>
      <c r="GW23" s="256"/>
      <c r="GX23" s="265"/>
      <c r="GY23" s="256"/>
      <c r="GZ23" s="256"/>
      <c r="HA23" s="256"/>
      <c r="HB23" s="256"/>
      <c r="HC23" s="256"/>
      <c r="HD23" s="256"/>
      <c r="HE23" s="256"/>
      <c r="HF23" s="465"/>
      <c r="HG23" s="465"/>
      <c r="HH23" s="465"/>
      <c r="HI23" s="256"/>
      <c r="HJ23" s="256"/>
      <c r="HK23" s="256"/>
      <c r="HL23" s="256"/>
      <c r="HM23" s="256"/>
      <c r="HN23" s="256"/>
      <c r="HO23" s="256"/>
      <c r="HP23" s="256"/>
      <c r="HQ23" s="256"/>
      <c r="HR23" s="256"/>
      <c r="HS23" s="256"/>
      <c r="HT23" s="256"/>
      <c r="HU23" s="256"/>
      <c r="HV23" s="256"/>
      <c r="HW23" s="256"/>
      <c r="HX23" s="256"/>
      <c r="HY23" s="256"/>
      <c r="HZ23" s="256"/>
      <c r="IA23" s="256"/>
      <c r="IB23" s="256"/>
      <c r="IC23" s="256"/>
      <c r="ID23" s="256"/>
      <c r="IE23" s="256"/>
      <c r="IF23" s="256"/>
      <c r="IG23" s="256"/>
      <c r="IH23" s="256"/>
      <c r="II23" s="256"/>
      <c r="IJ23" s="256"/>
      <c r="IK23" s="256"/>
      <c r="IL23" s="256"/>
      <c r="IM23" s="256"/>
      <c r="IN23" s="256"/>
      <c r="IO23" s="256"/>
      <c r="IP23" s="256"/>
      <c r="IQ23" s="256"/>
      <c r="IR23" s="256"/>
      <c r="IS23" s="256"/>
      <c r="IT23" s="256"/>
      <c r="IU23" s="256"/>
      <c r="IV23" s="256"/>
      <c r="IW23" s="256"/>
      <c r="IX23" s="256"/>
      <c r="IY23" s="256"/>
      <c r="IZ23" s="256"/>
      <c r="JA23" s="256"/>
    </row>
    <row r="24" spans="1:288" ht="23.4" customHeight="1" x14ac:dyDescent="0.25">
      <c r="A24" s="942" t="s">
        <v>246</v>
      </c>
      <c r="B24" s="943"/>
      <c r="C24" s="944"/>
      <c r="D24" s="192"/>
      <c r="E24" s="192"/>
      <c r="F24" s="192"/>
      <c r="G24" s="192"/>
      <c r="H24" s="192"/>
      <c r="I24" s="263"/>
      <c r="J24" s="226">
        <f>J17+J19</f>
        <v>63905588.189999998</v>
      </c>
      <c r="K24" s="226"/>
      <c r="L24" s="266">
        <f>L17+L19</f>
        <v>56558460</v>
      </c>
      <c r="M24" s="226"/>
      <c r="N24" s="266">
        <f>N17+N19</f>
        <v>56558460</v>
      </c>
      <c r="O24" s="267"/>
      <c r="P24" s="267"/>
      <c r="Q24" s="267"/>
      <c r="R24" s="267"/>
      <c r="S24" s="267"/>
      <c r="T24" s="267"/>
      <c r="U24" s="267"/>
      <c r="V24" s="267"/>
      <c r="W24" s="500">
        <v>63755588.189999998</v>
      </c>
      <c r="X24" s="267"/>
      <c r="Y24" s="267"/>
      <c r="Z24" s="267"/>
      <c r="AA24" s="267"/>
      <c r="AB24" s="267"/>
      <c r="AC24" s="267"/>
      <c r="AD24" s="267"/>
      <c r="AE24" s="267"/>
      <c r="AF24" s="267"/>
      <c r="AG24" s="267"/>
      <c r="AH24" s="267"/>
      <c r="AI24" s="267"/>
      <c r="AJ24" s="267"/>
      <c r="AK24" s="267"/>
      <c r="AL24" s="267"/>
      <c r="AM24" s="267"/>
      <c r="AN24" s="267"/>
      <c r="AO24" s="267"/>
      <c r="AP24" s="267"/>
      <c r="AQ24" s="267"/>
      <c r="AR24" s="267"/>
      <c r="AS24" s="267"/>
      <c r="AT24" s="267"/>
      <c r="AU24" s="267"/>
      <c r="AV24" s="267"/>
      <c r="AW24" s="267"/>
      <c r="AX24" s="267"/>
      <c r="AY24" s="267"/>
      <c r="AZ24" s="267"/>
      <c r="BA24" s="267"/>
      <c r="BB24" s="267"/>
      <c r="BC24" s="267"/>
      <c r="BD24" s="267"/>
      <c r="BE24" s="267"/>
      <c r="BF24" s="267"/>
      <c r="BG24" s="267"/>
      <c r="BH24" s="267"/>
      <c r="BI24" s="267"/>
      <c r="BJ24" s="267"/>
      <c r="BK24" s="267"/>
      <c r="BL24" s="267"/>
      <c r="BM24" s="267"/>
      <c r="BN24" s="267"/>
      <c r="BO24" s="267"/>
      <c r="BP24" s="267"/>
      <c r="BQ24" s="267"/>
      <c r="BR24" s="267"/>
      <c r="BS24" s="267"/>
      <c r="BT24" s="267"/>
      <c r="BU24" s="267"/>
      <c r="BV24" s="267"/>
      <c r="BW24" s="267"/>
      <c r="BX24" s="267"/>
      <c r="BY24" s="267"/>
      <c r="BZ24" s="267"/>
      <c r="CA24" s="267"/>
      <c r="CB24" s="267"/>
      <c r="CC24" s="267"/>
      <c r="CD24" s="267"/>
      <c r="CE24" s="267"/>
      <c r="CF24" s="267"/>
      <c r="CG24" s="713"/>
      <c r="CH24" s="500"/>
      <c r="CI24" s="500"/>
      <c r="CJ24" s="267"/>
      <c r="CK24" s="267"/>
      <c r="CL24" s="267"/>
      <c r="CM24" s="267"/>
      <c r="CN24" s="267"/>
      <c r="CO24" s="267"/>
      <c r="CP24" s="267"/>
      <c r="CQ24" s="267"/>
      <c r="CR24" s="267"/>
      <c r="CS24" s="267"/>
      <c r="CT24" s="267"/>
      <c r="CU24" s="267"/>
      <c r="CV24" s="267"/>
      <c r="CW24" s="267"/>
      <c r="CX24" s="267"/>
      <c r="CY24" s="267"/>
      <c r="CZ24" s="500"/>
      <c r="DA24" s="500"/>
      <c r="DB24" s="500"/>
      <c r="DC24" s="500"/>
      <c r="DD24" s="500"/>
      <c r="DE24" s="500"/>
      <c r="DF24" s="500"/>
      <c r="DG24" s="500"/>
      <c r="DH24" s="500"/>
      <c r="DI24" s="215"/>
      <c r="DJ24" s="215"/>
      <c r="DK24" s="215"/>
      <c r="DL24" s="500"/>
      <c r="DM24" s="500"/>
      <c r="DN24" s="500"/>
      <c r="DO24" s="500"/>
      <c r="DP24" s="518" t="s">
        <v>376</v>
      </c>
      <c r="DQ24" s="518" t="e">
        <f>DQ19+DR17</f>
        <v>#REF!</v>
      </c>
      <c r="DR24" s="500"/>
      <c r="DS24" s="500"/>
      <c r="DT24" s="500"/>
      <c r="DU24" s="500"/>
      <c r="DV24" s="500"/>
      <c r="DW24" s="500"/>
      <c r="DX24" s="500"/>
      <c r="DY24" s="267"/>
      <c r="DZ24" s="253"/>
      <c r="EA24" s="500"/>
      <c r="EB24" s="500"/>
      <c r="EC24" s="215"/>
      <c r="ED24" s="215"/>
      <c r="EE24" s="500"/>
      <c r="EF24" s="500"/>
      <c r="EG24" s="500"/>
      <c r="EH24" s="500"/>
      <c r="EI24" s="500"/>
      <c r="EJ24" s="500"/>
      <c r="EK24" s="500"/>
      <c r="EL24" s="215"/>
      <c r="EM24" s="215"/>
      <c r="EN24" s="215"/>
      <c r="EO24" s="215"/>
      <c r="EP24" s="215"/>
      <c r="EQ24" s="215"/>
      <c r="ER24" s="215"/>
      <c r="ES24" s="215"/>
      <c r="ET24" s="215"/>
      <c r="EU24" s="215"/>
      <c r="EV24" s="215"/>
      <c r="EW24" s="215"/>
      <c r="EX24" s="215"/>
      <c r="EY24" s="215"/>
      <c r="EZ24" s="215"/>
      <c r="FA24" s="215"/>
      <c r="FB24" s="215"/>
      <c r="FC24" s="215"/>
      <c r="FD24" s="215"/>
      <c r="FE24" s="215"/>
      <c r="FF24" s="215"/>
      <c r="FG24" s="215"/>
      <c r="FH24" s="215"/>
      <c r="FI24" s="215"/>
      <c r="FJ24" s="215"/>
      <c r="FK24" s="215"/>
      <c r="FL24" s="215"/>
      <c r="FM24" s="215"/>
      <c r="FN24" s="215"/>
      <c r="FO24" s="215" t="s">
        <v>419</v>
      </c>
      <c r="FP24" s="215" t="s">
        <v>420</v>
      </c>
      <c r="FQ24" s="215"/>
      <c r="FR24" s="215" t="s">
        <v>421</v>
      </c>
      <c r="FS24" s="215"/>
      <c r="FT24" s="215"/>
      <c r="FU24" s="215"/>
      <c r="FV24" s="215"/>
      <c r="FW24" s="215"/>
      <c r="FX24" s="215"/>
      <c r="FY24" s="215"/>
      <c r="FZ24" s="215"/>
      <c r="GA24" s="215"/>
      <c r="GB24" s="215"/>
      <c r="GC24" s="215"/>
      <c r="GD24" s="215"/>
      <c r="GE24" s="215"/>
      <c r="GF24" s="215"/>
      <c r="GG24" s="215"/>
      <c r="GH24" s="215"/>
      <c r="GI24" s="215"/>
      <c r="GJ24" s="215"/>
      <c r="GK24" s="215"/>
      <c r="GL24" s="215"/>
      <c r="GM24" s="215"/>
      <c r="GN24" s="215"/>
      <c r="GO24" s="215"/>
      <c r="GP24" s="215"/>
      <c r="GQ24" s="215"/>
      <c r="GR24" s="215"/>
      <c r="GS24" s="500"/>
      <c r="GT24" s="500"/>
      <c r="GU24" s="500"/>
      <c r="GV24" s="500"/>
      <c r="GW24" s="500"/>
      <c r="GX24" s="267"/>
      <c r="GY24" s="459"/>
      <c r="GZ24" s="460" t="e">
        <f>#REF!+GZ19</f>
        <v>#REF!</v>
      </c>
      <c r="HA24" s="460" t="e">
        <f>#REF!+HA19</f>
        <v>#REF!</v>
      </c>
      <c r="HB24" s="270"/>
      <c r="HC24" s="270"/>
      <c r="HD24" s="176" t="s">
        <v>319</v>
      </c>
      <c r="HE24" s="176" t="e">
        <f>HD18-HE18</f>
        <v>#REF!</v>
      </c>
      <c r="HF24" s="465" t="s">
        <v>321</v>
      </c>
      <c r="HG24" s="466">
        <v>2088</v>
      </c>
      <c r="HH24" s="466">
        <v>2088</v>
      </c>
      <c r="HI24" s="454"/>
      <c r="HJ24" s="270"/>
      <c r="HK24" s="270"/>
      <c r="HL24" s="270"/>
      <c r="HM24" s="270"/>
      <c r="HN24" s="270"/>
      <c r="HO24" s="270"/>
      <c r="HP24" s="270"/>
      <c r="HQ24" s="270"/>
      <c r="HR24" s="268"/>
      <c r="HS24" s="268"/>
      <c r="HT24" s="270"/>
      <c r="HU24" s="270"/>
      <c r="HV24" s="270"/>
      <c r="HW24" s="270"/>
      <c r="HX24" s="270"/>
      <c r="HY24" s="270"/>
      <c r="HZ24" s="270"/>
      <c r="IA24" s="270"/>
      <c r="IB24" s="270"/>
      <c r="IC24" s="270"/>
      <c r="ID24" s="270"/>
      <c r="IE24" s="270"/>
      <c r="IF24" s="270"/>
      <c r="IG24" s="270"/>
      <c r="IH24" s="270"/>
      <c r="II24" s="270"/>
      <c r="IJ24" s="270"/>
      <c r="IK24" s="270"/>
      <c r="IL24" s="270"/>
      <c r="IM24" s="270"/>
      <c r="IN24" s="270"/>
      <c r="IO24" s="270"/>
      <c r="IP24" s="270"/>
      <c r="IQ24" s="270"/>
      <c r="IR24" s="270"/>
      <c r="IS24" s="270"/>
      <c r="IT24" s="270"/>
      <c r="IU24" s="270"/>
      <c r="IV24" s="270"/>
      <c r="IW24" s="270"/>
      <c r="IX24" s="270"/>
      <c r="IY24" s="270"/>
      <c r="IZ24" s="270"/>
      <c r="JA24" s="270"/>
      <c r="JB24" s="25"/>
      <c r="JE24" s="209">
        <v>37024596.810000002</v>
      </c>
      <c r="JF24" s="210"/>
      <c r="JG24" s="209">
        <v>37571922.359999999</v>
      </c>
      <c r="JH24" s="210"/>
      <c r="JI24" s="236">
        <v>39305388.359999999</v>
      </c>
      <c r="JJ24" s="251">
        <v>37024600</v>
      </c>
      <c r="JK24" s="210"/>
      <c r="JL24" s="210"/>
      <c r="JM24" s="210"/>
      <c r="JN24" s="210"/>
      <c r="JO24" s="210"/>
    </row>
    <row r="25" spans="1:288" ht="14.4" customHeight="1" x14ac:dyDescent="0.25">
      <c r="J25" s="25"/>
      <c r="K25" s="25"/>
      <c r="CG25" s="249"/>
      <c r="CH25" s="257"/>
      <c r="CI25" s="258"/>
      <c r="CZ25" s="258"/>
      <c r="DA25" s="258"/>
      <c r="DB25" s="258"/>
      <c r="DC25" s="258"/>
      <c r="DD25" s="258"/>
      <c r="DE25" s="258"/>
      <c r="DF25" s="258"/>
      <c r="DG25" s="258"/>
      <c r="DH25" s="258"/>
      <c r="DI25" s="258"/>
      <c r="DJ25" s="258"/>
      <c r="DK25" s="258"/>
      <c r="DL25" s="258"/>
      <c r="DM25" s="258"/>
      <c r="DN25" s="258"/>
      <c r="DO25" s="258"/>
      <c r="DP25" s="258"/>
      <c r="DQ25" s="489" t="e">
        <f>DQ18+#REF!+DW17</f>
        <v>#REF!</v>
      </c>
      <c r="DR25" s="258"/>
      <c r="DS25" s="258"/>
      <c r="DT25" s="258"/>
      <c r="DU25" s="258"/>
      <c r="DV25" s="258"/>
      <c r="DW25" s="258"/>
      <c r="DX25" s="258"/>
      <c r="EA25" s="258"/>
      <c r="EB25" s="258"/>
      <c r="EC25" s="258"/>
      <c r="ED25" s="489"/>
      <c r="EE25" s="258"/>
      <c r="EF25" s="258"/>
      <c r="EG25" s="258"/>
      <c r="EH25" s="258"/>
      <c r="EI25" s="258"/>
      <c r="EJ25" s="258"/>
      <c r="EK25" s="258"/>
      <c r="EL25" s="258"/>
      <c r="EM25" s="258"/>
      <c r="EN25" s="258"/>
      <c r="EO25" s="258"/>
      <c r="EP25" s="258"/>
      <c r="EQ25" s="258"/>
      <c r="ER25" s="258"/>
      <c r="ES25" s="258"/>
      <c r="ET25" s="258"/>
      <c r="EU25" s="258"/>
      <c r="EV25" s="258"/>
      <c r="EW25" s="258"/>
      <c r="EX25" s="258"/>
      <c r="EY25" s="258"/>
      <c r="EZ25" s="258"/>
      <c r="FA25" s="258"/>
      <c r="FB25" s="258"/>
      <c r="FC25" s="258"/>
      <c r="FD25" s="258"/>
      <c r="FE25" s="258"/>
      <c r="FF25" s="258"/>
      <c r="FG25" s="258"/>
      <c r="FH25" s="258"/>
      <c r="FI25" s="258"/>
      <c r="FJ25" s="258"/>
      <c r="FK25" s="258"/>
      <c r="FL25" s="258"/>
      <c r="FM25" s="258"/>
      <c r="FN25" s="258"/>
      <c r="FO25" s="257">
        <v>45830885.5</v>
      </c>
      <c r="FP25" s="257">
        <v>40412500</v>
      </c>
      <c r="FQ25" s="257">
        <f>FO25-FP25</f>
        <v>5418385.5</v>
      </c>
      <c r="FR25" s="180">
        <v>104880</v>
      </c>
      <c r="FS25" s="258">
        <f>FQ25/FR25</f>
        <v>51.662714530892501</v>
      </c>
      <c r="FT25" s="258"/>
      <c r="FU25" s="258"/>
      <c r="FV25" s="258"/>
      <c r="FW25" s="258"/>
      <c r="FX25" s="258"/>
      <c r="FY25" s="258"/>
      <c r="FZ25" s="258"/>
      <c r="GA25" s="258"/>
      <c r="GB25" s="258"/>
      <c r="GC25" s="258"/>
      <c r="GD25" s="258"/>
      <c r="GE25" s="258"/>
      <c r="GF25" s="258"/>
      <c r="GG25" s="258"/>
      <c r="GH25" s="258"/>
      <c r="GI25" s="258"/>
      <c r="GJ25" s="258"/>
      <c r="GK25" s="258"/>
      <c r="GL25" s="258"/>
      <c r="GM25" s="258"/>
      <c r="GN25" s="258"/>
      <c r="GO25" s="258"/>
      <c r="GP25" s="258"/>
      <c r="GQ25" s="258"/>
      <c r="GR25" s="258"/>
      <c r="GS25" s="258"/>
      <c r="GT25" s="258"/>
      <c r="GU25" s="258"/>
      <c r="GV25" s="258"/>
      <c r="GW25" s="258"/>
      <c r="HB25" s="258"/>
      <c r="HD25" s="271"/>
      <c r="HE25" s="271"/>
      <c r="HF25" s="467" t="s">
        <v>322</v>
      </c>
      <c r="HG25" s="468">
        <v>4320</v>
      </c>
      <c r="HH25" s="468">
        <v>3384</v>
      </c>
      <c r="HI25" s="455"/>
      <c r="HJ25" s="271"/>
      <c r="HK25" s="271"/>
      <c r="HL25" s="271"/>
      <c r="HM25" s="271"/>
      <c r="HN25" s="271"/>
      <c r="HO25" s="271"/>
      <c r="HP25" s="271"/>
      <c r="HQ25" s="271"/>
      <c r="HR25" s="271" t="s">
        <v>212</v>
      </c>
      <c r="HS25" s="271" t="s">
        <v>213</v>
      </c>
      <c r="HT25" s="271" t="s">
        <v>214</v>
      </c>
      <c r="HU25" s="271"/>
      <c r="HV25" s="271"/>
      <c r="HW25" s="271"/>
      <c r="HX25" s="271"/>
      <c r="HY25" s="271"/>
      <c r="HZ25" s="271"/>
      <c r="IA25" s="271"/>
      <c r="IB25" s="271"/>
      <c r="IC25" s="271"/>
      <c r="ID25" s="271"/>
      <c r="IE25" s="271"/>
      <c r="IF25" s="271"/>
      <c r="IG25" s="271"/>
      <c r="IH25" s="271"/>
      <c r="II25" s="271"/>
      <c r="IJ25" s="271"/>
      <c r="IK25" s="271"/>
      <c r="IL25" s="271"/>
      <c r="IM25" s="271"/>
      <c r="IN25" s="271"/>
      <c r="IO25" s="271"/>
      <c r="IP25" s="271"/>
      <c r="IQ25" s="271"/>
      <c r="IR25" s="271"/>
      <c r="IS25" s="271"/>
      <c r="IT25" s="271"/>
      <c r="IU25" s="271"/>
      <c r="IV25" s="271"/>
      <c r="IW25" s="271"/>
      <c r="IX25" s="271"/>
      <c r="IY25" s="271"/>
      <c r="IZ25" s="271"/>
      <c r="JA25" s="207"/>
      <c r="JH25" s="272" t="s">
        <v>235</v>
      </c>
      <c r="JI25" s="210">
        <v>8889750.3599999994</v>
      </c>
      <c r="JJ25" s="210">
        <v>0</v>
      </c>
    </row>
    <row r="26" spans="1:288" ht="12" customHeight="1" x14ac:dyDescent="0.25">
      <c r="D26" s="30"/>
      <c r="G26" s="30"/>
      <c r="H26" s="30"/>
      <c r="J26" s="25"/>
      <c r="K26" s="25"/>
      <c r="BS26" s="258"/>
      <c r="BT26" s="258"/>
      <c r="CZ26" s="258"/>
      <c r="DA26" s="258"/>
      <c r="DB26" s="258"/>
      <c r="DC26" s="258"/>
      <c r="DD26" s="258"/>
      <c r="DE26" s="258"/>
      <c r="DF26" s="258"/>
      <c r="DG26" s="258"/>
      <c r="DH26" s="258"/>
      <c r="DI26" s="258"/>
      <c r="DJ26" s="258"/>
      <c r="DK26" s="258"/>
      <c r="DL26" s="258"/>
      <c r="DM26" s="258"/>
      <c r="DN26" s="258"/>
      <c r="DO26" s="258"/>
      <c r="DP26" s="258"/>
      <c r="DQ26" s="258"/>
      <c r="DR26" s="258"/>
      <c r="DS26" s="258"/>
      <c r="DT26" s="258"/>
      <c r="DU26" s="258"/>
      <c r="DV26" s="258"/>
      <c r="DW26" s="258"/>
      <c r="DX26" s="258"/>
      <c r="FO26" s="257"/>
      <c r="HB26" s="258"/>
      <c r="HC26" s="258"/>
      <c r="HD26" s="215">
        <v>10745500</v>
      </c>
      <c r="HE26" s="163"/>
      <c r="HF26" s="469"/>
      <c r="HG26" s="470">
        <f>SUM(HG24:HG25)</f>
        <v>6408</v>
      </c>
      <c r="HH26" s="470">
        <f>SUM(HH24:HH25)</f>
        <v>5472</v>
      </c>
      <c r="HI26" s="275"/>
      <c r="HJ26" s="275"/>
      <c r="HK26" s="275"/>
      <c r="HL26" s="275"/>
      <c r="HM26" s="275"/>
      <c r="HN26" s="275"/>
      <c r="HO26" s="275"/>
      <c r="HP26" s="275"/>
      <c r="HQ26" s="275"/>
      <c r="HR26" s="274" t="s">
        <v>249</v>
      </c>
      <c r="HS26" s="274" t="s">
        <v>249</v>
      </c>
      <c r="HT26" s="274" t="s">
        <v>249</v>
      </c>
      <c r="HU26" s="275"/>
      <c r="HV26" s="275"/>
      <c r="HW26" s="275"/>
      <c r="HX26" s="275"/>
      <c r="HY26" s="275"/>
      <c r="HZ26" s="275"/>
      <c r="IA26" s="275"/>
      <c r="IB26" s="275"/>
      <c r="IC26" s="275"/>
      <c r="ID26" s="275"/>
      <c r="IE26" s="275"/>
      <c r="IF26" s="275"/>
      <c r="IG26" s="275"/>
      <c r="IH26" s="275"/>
      <c r="II26" s="275"/>
      <c r="IJ26" s="275"/>
      <c r="IK26" s="275"/>
      <c r="IL26" s="275"/>
      <c r="IM26" s="275"/>
      <c r="IN26" s="275"/>
      <c r="IO26" s="275"/>
      <c r="IP26" s="275"/>
      <c r="IQ26" s="275"/>
      <c r="IR26" s="275"/>
      <c r="IS26" s="275"/>
      <c r="IT26" s="275"/>
      <c r="IU26" s="275"/>
      <c r="IV26" s="275"/>
      <c r="IW26" s="275"/>
      <c r="IX26" s="275"/>
      <c r="IY26" s="275"/>
      <c r="IZ26" s="275"/>
      <c r="JH26" s="272" t="s">
        <v>250</v>
      </c>
      <c r="JI26" s="210">
        <v>4943157.2</v>
      </c>
      <c r="JJ26" s="210">
        <v>4943157.2</v>
      </c>
    </row>
    <row r="27" spans="1:288" ht="16.2" customHeight="1" x14ac:dyDescent="0.25">
      <c r="J27" s="25"/>
      <c r="K27" s="25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809"/>
      <c r="AB27" s="809"/>
      <c r="AC27" s="809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477"/>
      <c r="BT27" s="477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477"/>
      <c r="DA27" s="477"/>
      <c r="DB27" s="477"/>
      <c r="DC27" s="477"/>
      <c r="DD27" s="477"/>
      <c r="DE27" s="477"/>
      <c r="DF27" s="477"/>
      <c r="DG27" s="477"/>
      <c r="DH27" s="477"/>
      <c r="DI27" s="258"/>
      <c r="DJ27" s="258"/>
      <c r="DK27" s="258"/>
      <c r="DL27" s="477"/>
      <c r="DM27" s="477"/>
      <c r="DN27" s="477"/>
      <c r="DO27" s="477"/>
      <c r="DP27" s="477"/>
      <c r="DQ27" s="477"/>
      <c r="DR27" s="477"/>
      <c r="DS27" s="477"/>
      <c r="DT27" s="477"/>
      <c r="DU27" s="477"/>
      <c r="DV27" s="477"/>
      <c r="DW27" s="477"/>
      <c r="DX27" s="477"/>
      <c r="DY27" s="2"/>
      <c r="EF27" s="2"/>
      <c r="EG27" s="2"/>
      <c r="EH27" s="2"/>
      <c r="EI27" s="2"/>
      <c r="EJ27" s="2"/>
      <c r="EK27" s="2"/>
      <c r="FO27" s="257"/>
      <c r="GS27" s="2"/>
      <c r="GT27" s="2"/>
      <c r="GZ27" s="258"/>
      <c r="HA27" s="258"/>
      <c r="HB27" s="258"/>
      <c r="HC27" s="258"/>
      <c r="HD27" s="215">
        <v>4334708.4000000004</v>
      </c>
      <c r="HE27" s="215"/>
      <c r="HF27" s="215"/>
      <c r="HG27" s="464"/>
      <c r="HH27" s="278"/>
      <c r="HI27" s="278"/>
      <c r="HJ27" s="278"/>
      <c r="HK27" s="278"/>
      <c r="HL27" s="278"/>
      <c r="HM27" s="278"/>
      <c r="HN27" s="278"/>
      <c r="HO27" s="278"/>
      <c r="HP27" s="278"/>
      <c r="HQ27" s="278"/>
      <c r="HR27" s="276">
        <v>31653700</v>
      </c>
      <c r="HS27" s="276">
        <v>31632000</v>
      </c>
      <c r="HT27" s="276">
        <v>31632000</v>
      </c>
      <c r="HU27" s="277" t="s">
        <v>251</v>
      </c>
      <c r="HV27" s="278"/>
      <c r="HW27" s="278"/>
      <c r="HX27" s="278"/>
      <c r="HY27" s="278"/>
      <c r="HZ27" s="278"/>
      <c r="IA27" s="278"/>
      <c r="IB27" s="278"/>
      <c r="IC27" s="278"/>
      <c r="ID27" s="278"/>
      <c r="IE27" s="278"/>
      <c r="IF27" s="278"/>
      <c r="IG27" s="278"/>
      <c r="IH27" s="278"/>
      <c r="II27" s="278"/>
      <c r="IJ27" s="278"/>
      <c r="IK27" s="278"/>
      <c r="IL27" s="278"/>
      <c r="IM27" s="278"/>
      <c r="IN27" s="278"/>
      <c r="IO27" s="278"/>
      <c r="IP27" s="278"/>
      <c r="IQ27" s="278"/>
      <c r="IR27" s="278"/>
      <c r="IS27" s="278"/>
      <c r="IT27" s="278"/>
      <c r="IU27" s="278"/>
      <c r="IV27" s="278"/>
      <c r="IW27" s="278"/>
      <c r="IX27" s="278"/>
      <c r="IY27" s="278"/>
      <c r="IZ27" s="278"/>
      <c r="JA27" s="2"/>
      <c r="JH27" s="279" t="s">
        <v>252</v>
      </c>
      <c r="JI27" s="280">
        <f>JI24-JI25-JI26</f>
        <v>25472480.800000001</v>
      </c>
      <c r="JJ27" s="271">
        <f>JJ24-JJ25-JJ26</f>
        <v>32081442.800000001</v>
      </c>
      <c r="JK27" s="257">
        <f>JJ27-JI27</f>
        <v>6608962</v>
      </c>
      <c r="JL27" s="257"/>
      <c r="JM27" s="257"/>
      <c r="JN27" s="257"/>
    </row>
    <row r="28" spans="1:288" x14ac:dyDescent="0.25">
      <c r="A28" s="1" t="s">
        <v>254</v>
      </c>
      <c r="J28" s="257"/>
      <c r="K28" s="257"/>
      <c r="AA28" s="489"/>
      <c r="AB28" s="257"/>
      <c r="AC28" s="257"/>
      <c r="BS28" s="667"/>
      <c r="BT28" s="258"/>
      <c r="CZ28" s="258"/>
      <c r="DA28" s="258"/>
      <c r="DB28" s="258"/>
      <c r="DC28" s="258"/>
      <c r="DD28" s="258"/>
      <c r="DE28" s="258"/>
      <c r="DF28" s="258"/>
      <c r="DG28" s="258"/>
      <c r="DH28" s="258"/>
      <c r="DI28" s="258"/>
      <c r="DJ28" s="258"/>
      <c r="DK28" s="258"/>
      <c r="DL28" s="258"/>
      <c r="DM28" s="258"/>
      <c r="DN28" s="258"/>
      <c r="DO28" s="258"/>
      <c r="DP28" s="258"/>
      <c r="DQ28" s="258"/>
      <c r="DR28" s="258"/>
      <c r="DS28" s="258"/>
      <c r="DT28" s="258"/>
      <c r="DU28" s="258"/>
      <c r="DV28" s="258"/>
      <c r="DW28" s="258"/>
      <c r="DX28" s="258"/>
      <c r="GZ28" s="258"/>
      <c r="HA28" s="258"/>
      <c r="HB28" s="258"/>
      <c r="HC28" s="258"/>
      <c r="HD28" s="463">
        <f>SUM(HD26:HD27)</f>
        <v>15080208.4</v>
      </c>
      <c r="HE28" s="249" t="e">
        <f>HD28/#REF!</f>
        <v>#REF!</v>
      </c>
      <c r="HF28" s="249" t="s">
        <v>325</v>
      </c>
      <c r="HG28" s="248"/>
      <c r="HH28" s="248"/>
      <c r="HI28" s="248"/>
      <c r="HJ28" s="248"/>
      <c r="HK28" s="248"/>
      <c r="HL28" s="248"/>
      <c r="HM28" s="248"/>
      <c r="HN28" s="248"/>
      <c r="HO28" s="248"/>
      <c r="HP28" s="248"/>
      <c r="HQ28" s="248"/>
      <c r="HR28" s="210"/>
      <c r="HS28" s="210"/>
      <c r="HT28" s="248"/>
      <c r="HU28" s="248"/>
      <c r="HV28" s="248"/>
      <c r="HW28" s="248"/>
      <c r="HX28" s="248"/>
      <c r="HY28" s="248"/>
      <c r="HZ28" s="248"/>
      <c r="IA28" s="248"/>
      <c r="IB28" s="248"/>
      <c r="IC28" s="248"/>
      <c r="ID28" s="248"/>
      <c r="IE28" s="248"/>
      <c r="IF28" s="248"/>
      <c r="IG28" s="248"/>
      <c r="IH28" s="248"/>
      <c r="II28" s="248"/>
      <c r="IJ28" s="248"/>
      <c r="IK28" s="248"/>
      <c r="IL28" s="248"/>
      <c r="IM28" s="248"/>
      <c r="IN28" s="248"/>
      <c r="IO28" s="248"/>
      <c r="IP28" s="248"/>
      <c r="IQ28" s="248"/>
      <c r="IR28" s="248"/>
      <c r="IS28" s="248"/>
      <c r="IT28" s="248"/>
      <c r="IU28" s="248"/>
      <c r="IV28" s="248"/>
      <c r="IW28" s="248"/>
      <c r="IX28" s="248"/>
      <c r="IY28" s="248"/>
      <c r="IZ28" s="248"/>
      <c r="JB28" s="25"/>
      <c r="JI28" s="258"/>
      <c r="JJ28" s="257"/>
      <c r="JK28" s="283">
        <f>JK27/6</f>
        <v>1101493.6666999999</v>
      </c>
      <c r="JL28" s="283"/>
      <c r="JM28" s="283"/>
      <c r="JN28" s="284"/>
    </row>
    <row r="29" spans="1:288" ht="16.2" customHeight="1" x14ac:dyDescent="0.25">
      <c r="A29" s="1" t="s">
        <v>77</v>
      </c>
      <c r="J29" s="25"/>
      <c r="K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7"/>
      <c r="AB29" s="257"/>
      <c r="AC29" s="257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02" t="e">
        <f>#REF!</f>
        <v>#REF!</v>
      </c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490"/>
      <c r="BT29" s="257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7"/>
      <c r="DA29" s="257"/>
      <c r="DB29" s="257"/>
      <c r="DC29" s="257"/>
      <c r="DD29" s="257"/>
      <c r="DE29" s="257"/>
      <c r="DF29" s="257"/>
      <c r="DG29" s="257"/>
      <c r="DH29" s="257"/>
      <c r="DI29" s="257"/>
      <c r="DJ29" s="257"/>
      <c r="DK29" s="257"/>
      <c r="DL29" s="257"/>
      <c r="DM29" s="257"/>
      <c r="DN29" s="257"/>
      <c r="DO29" s="257"/>
      <c r="DP29" s="257"/>
      <c r="DQ29" s="257"/>
      <c r="DR29" s="257"/>
      <c r="DS29" s="257"/>
      <c r="DT29" s="257"/>
      <c r="DU29" s="257"/>
      <c r="DV29" s="257"/>
      <c r="DW29" s="257"/>
      <c r="DX29" s="257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Z29" s="258"/>
      <c r="HA29" s="258"/>
      <c r="HB29" s="258"/>
      <c r="HC29" s="258"/>
      <c r="HD29" s="249"/>
      <c r="HE29" s="249"/>
      <c r="HF29" s="249"/>
      <c r="HG29" s="248"/>
      <c r="HH29" s="248"/>
      <c r="HI29" s="248"/>
      <c r="HJ29" s="248"/>
      <c r="HK29" s="248"/>
      <c r="HL29" s="248"/>
      <c r="HM29" s="248"/>
      <c r="HN29" s="248"/>
      <c r="HO29" s="248"/>
      <c r="HP29" s="248"/>
      <c r="HQ29" s="248"/>
      <c r="HR29" s="257">
        <f>HO29-HN29</f>
        <v>0</v>
      </c>
      <c r="HS29" s="249">
        <f>HR29/6</f>
        <v>0</v>
      </c>
      <c r="HT29" s="249">
        <v>10487860.560000001</v>
      </c>
      <c r="HU29" s="249">
        <f>(HO29-HT29)/6</f>
        <v>-1747976.76</v>
      </c>
      <c r="HV29" s="248"/>
      <c r="HW29" s="248"/>
      <c r="HX29" s="248"/>
      <c r="HY29" s="248"/>
      <c r="HZ29" s="248"/>
      <c r="IA29" s="248"/>
      <c r="IB29" s="248"/>
      <c r="IC29" s="248"/>
      <c r="ID29" s="248"/>
      <c r="IE29" s="248"/>
      <c r="IF29" s="248"/>
      <c r="IG29" s="248"/>
      <c r="IH29" s="248"/>
      <c r="II29" s="248"/>
      <c r="IJ29" s="248"/>
      <c r="IK29" s="248"/>
      <c r="IL29" s="248"/>
      <c r="IM29" s="248"/>
      <c r="IN29" s="248"/>
      <c r="IO29" s="248"/>
      <c r="IP29" s="248"/>
      <c r="IQ29" s="248"/>
      <c r="IR29" s="248"/>
      <c r="IS29" s="248"/>
      <c r="IT29" s="248"/>
      <c r="IU29" s="248"/>
      <c r="IV29" s="248"/>
      <c r="IW29" s="248"/>
      <c r="IX29" s="248"/>
      <c r="IY29" s="248"/>
      <c r="IZ29" s="248"/>
      <c r="JA29" s="25"/>
      <c r="JB29" s="25"/>
      <c r="JI29" s="180" t="s">
        <v>240</v>
      </c>
    </row>
    <row r="30" spans="1:288" ht="14.4" customHeight="1" x14ac:dyDescent="0.25"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7"/>
      <c r="AB30" s="490"/>
      <c r="AC30" s="257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02">
        <f>AU18</f>
        <v>767455.34</v>
      </c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7"/>
      <c r="DA30" s="257"/>
      <c r="DB30" s="257"/>
      <c r="DC30" s="257"/>
      <c r="DD30" s="257"/>
      <c r="DE30" s="257"/>
      <c r="DF30" s="257"/>
      <c r="DG30" s="257"/>
      <c r="DH30" s="257"/>
      <c r="DI30" s="257"/>
      <c r="DJ30" s="257"/>
      <c r="DK30" s="257"/>
      <c r="DL30" s="257"/>
      <c r="DM30" s="257"/>
      <c r="DN30" s="257"/>
      <c r="DO30" s="257"/>
      <c r="DP30" s="257"/>
      <c r="DQ30" s="257"/>
      <c r="DR30" s="257"/>
      <c r="DS30" s="257"/>
      <c r="DT30" s="257"/>
      <c r="DU30" s="257"/>
      <c r="DV30" s="257"/>
      <c r="DW30" s="257"/>
      <c r="DX30" s="257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Z30" s="258"/>
      <c r="HA30" s="258"/>
      <c r="HB30" s="258"/>
      <c r="HC30" s="258">
        <v>14349678.640000001</v>
      </c>
      <c r="HD30" s="249" t="e">
        <f>#REF!</f>
        <v>#REF!</v>
      </c>
      <c r="HE30" s="249"/>
      <c r="HF30" s="249"/>
      <c r="HG30" s="248"/>
      <c r="HH30" s="248"/>
      <c r="HI30" s="248"/>
      <c r="HJ30" s="248"/>
      <c r="HK30" s="248"/>
      <c r="HL30" s="248"/>
      <c r="HM30" s="248"/>
      <c r="HN30" s="248"/>
      <c r="HO30" s="248"/>
      <c r="HP30" s="248"/>
      <c r="HQ30" s="248"/>
      <c r="HR30" s="258"/>
      <c r="HS30" s="248"/>
      <c r="HT30" s="286">
        <v>10488531.6</v>
      </c>
      <c r="HU30" s="286">
        <f>(HO29-HT30)/6</f>
        <v>-1748088.6</v>
      </c>
      <c r="HV30" s="248"/>
      <c r="HW30" s="248"/>
      <c r="HX30" s="248"/>
      <c r="HY30" s="248"/>
      <c r="HZ30" s="248"/>
      <c r="IA30" s="248"/>
      <c r="IB30" s="248"/>
      <c r="IC30" s="248"/>
      <c r="ID30" s="248"/>
      <c r="IE30" s="248"/>
      <c r="IF30" s="248"/>
      <c r="IG30" s="248"/>
      <c r="IH30" s="248"/>
      <c r="II30" s="248"/>
      <c r="IJ30" s="248"/>
      <c r="IK30" s="248"/>
      <c r="IL30" s="248"/>
      <c r="IM30" s="248"/>
      <c r="IN30" s="248"/>
      <c r="IO30" s="248"/>
      <c r="IP30" s="248"/>
      <c r="IQ30" s="248"/>
      <c r="IR30" s="248"/>
      <c r="IS30" s="248"/>
      <c r="IT30" s="248"/>
      <c r="IU30" s="248"/>
      <c r="IV30" s="248"/>
      <c r="IW30" s="248"/>
      <c r="IX30" s="248"/>
      <c r="IY30" s="248"/>
      <c r="IZ30" s="248"/>
      <c r="JA30" s="25"/>
      <c r="JI30" s="287" t="s">
        <v>257</v>
      </c>
    </row>
    <row r="31" spans="1:288" hidden="1" x14ac:dyDescent="0.25">
      <c r="J31" s="25"/>
      <c r="K31" s="25"/>
      <c r="L31" s="25">
        <f>35157010-1681098</f>
        <v>33475912</v>
      </c>
      <c r="M31" s="36"/>
      <c r="N31" s="36">
        <f>38356010-1834064</f>
        <v>36521946</v>
      </c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7"/>
      <c r="DA31" s="257"/>
      <c r="DB31" s="257"/>
      <c r="DC31" s="257"/>
      <c r="DD31" s="257"/>
      <c r="DE31" s="257"/>
      <c r="DF31" s="257"/>
      <c r="DG31" s="257"/>
      <c r="DH31" s="257"/>
      <c r="DI31" s="257"/>
      <c r="DJ31" s="257"/>
      <c r="DK31" s="257"/>
      <c r="DL31" s="257"/>
      <c r="DM31" s="257"/>
      <c r="DN31" s="257"/>
      <c r="DO31" s="257"/>
      <c r="DP31" s="257"/>
      <c r="DQ31" s="257"/>
      <c r="DR31" s="257"/>
      <c r="DS31" s="257"/>
      <c r="DT31" s="257"/>
      <c r="DU31" s="257"/>
      <c r="DV31" s="257"/>
      <c r="DW31" s="257"/>
      <c r="DX31" s="257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Z31" s="258"/>
      <c r="HA31" s="258"/>
      <c r="HB31" s="258"/>
      <c r="HC31" s="257">
        <f>HD28-HC30</f>
        <v>730529.76</v>
      </c>
      <c r="HD31" s="271" t="e">
        <f>HD28-HD30</f>
        <v>#REF!</v>
      </c>
      <c r="HE31" s="455" t="e">
        <f>HD31/HG26</f>
        <v>#REF!</v>
      </c>
      <c r="HF31" s="271"/>
      <c r="HG31" s="271"/>
      <c r="HH31" s="271"/>
      <c r="HI31" s="271"/>
      <c r="HJ31" s="271"/>
      <c r="HK31" s="271"/>
      <c r="HL31" s="271"/>
      <c r="HM31" s="271"/>
      <c r="HN31" s="271"/>
      <c r="HO31" s="271"/>
      <c r="HP31" s="271"/>
      <c r="HQ31" s="271"/>
      <c r="HR31" s="257"/>
      <c r="HS31" s="271" t="s">
        <v>212</v>
      </c>
      <c r="HT31" s="271" t="s">
        <v>213</v>
      </c>
      <c r="HU31" s="271"/>
      <c r="HV31" s="271"/>
      <c r="HW31" s="271"/>
      <c r="HX31" s="271"/>
      <c r="HY31" s="271"/>
      <c r="HZ31" s="271"/>
      <c r="IA31" s="271"/>
      <c r="IB31" s="271"/>
      <c r="IC31" s="271"/>
      <c r="ID31" s="271"/>
      <c r="IE31" s="271"/>
      <c r="IF31" s="271"/>
      <c r="IG31" s="271"/>
      <c r="IH31" s="271"/>
      <c r="II31" s="271"/>
      <c r="IJ31" s="271"/>
      <c r="IK31" s="271"/>
      <c r="IL31" s="271"/>
      <c r="IM31" s="271"/>
      <c r="IN31" s="271"/>
      <c r="IO31" s="271"/>
      <c r="IP31" s="271"/>
      <c r="IQ31" s="271"/>
      <c r="IR31" s="271"/>
      <c r="IS31" s="271"/>
      <c r="IT31" s="271"/>
      <c r="IU31" s="271"/>
      <c r="IV31" s="271"/>
      <c r="IW31" s="271"/>
      <c r="IX31" s="271"/>
      <c r="IY31" s="271"/>
      <c r="IZ31" s="271"/>
      <c r="JA31" s="25"/>
      <c r="JI31" s="236">
        <v>39373588.359999999</v>
      </c>
    </row>
    <row r="32" spans="1:288" ht="16.95" hidden="1" customHeight="1" x14ac:dyDescent="0.25">
      <c r="J32" s="25"/>
      <c r="K32" s="25"/>
      <c r="M32" s="257"/>
      <c r="N32" s="257"/>
      <c r="CZ32" s="258"/>
      <c r="DA32" s="258"/>
      <c r="DB32" s="258"/>
      <c r="DC32" s="258"/>
      <c r="DD32" s="258"/>
      <c r="DE32" s="258"/>
      <c r="DF32" s="258"/>
      <c r="DG32" s="258"/>
      <c r="DH32" s="258"/>
      <c r="DI32" s="258"/>
      <c r="DJ32" s="258"/>
      <c r="DK32" s="258"/>
      <c r="DL32" s="258"/>
      <c r="DM32" s="258"/>
      <c r="DN32" s="258"/>
      <c r="DO32" s="258"/>
      <c r="DP32" s="258"/>
      <c r="DQ32" s="258"/>
      <c r="DR32" s="258"/>
      <c r="DS32" s="258"/>
      <c r="DT32" s="258"/>
      <c r="DU32" s="258"/>
      <c r="DV32" s="258"/>
      <c r="DW32" s="258"/>
      <c r="DX32" s="258"/>
      <c r="GZ32" s="258"/>
      <c r="HA32" s="258"/>
      <c r="HB32" s="258"/>
      <c r="HC32" s="258" t="e">
        <f>HC31/#REF!</f>
        <v>#REF!</v>
      </c>
      <c r="HD32" s="163"/>
      <c r="HE32" s="163"/>
      <c r="HF32" s="163"/>
      <c r="HG32" s="163"/>
      <c r="HH32" s="163"/>
      <c r="HI32" s="163"/>
      <c r="HJ32" s="163"/>
      <c r="HK32" s="163"/>
      <c r="HL32" s="163"/>
      <c r="HM32" s="163"/>
      <c r="HN32" s="163"/>
      <c r="HO32" s="163"/>
      <c r="HP32" s="163"/>
      <c r="HQ32" s="163"/>
      <c r="HR32" s="291" t="s">
        <v>258</v>
      </c>
      <c r="HS32" s="292" t="s">
        <v>259</v>
      </c>
      <c r="HT32" s="292" t="s">
        <v>259</v>
      </c>
      <c r="HU32" s="163"/>
      <c r="HV32" s="163"/>
      <c r="HW32" s="163"/>
      <c r="HX32" s="163"/>
      <c r="HY32" s="163"/>
      <c r="HZ32" s="163"/>
      <c r="IA32" s="163"/>
      <c r="IB32" s="163"/>
      <c r="IC32" s="163"/>
      <c r="ID32" s="163"/>
      <c r="IE32" s="163"/>
      <c r="IF32" s="163"/>
      <c r="IG32" s="163"/>
      <c r="IH32" s="163"/>
      <c r="II32" s="163"/>
      <c r="IJ32" s="163"/>
      <c r="IK32" s="163"/>
      <c r="IL32" s="163"/>
      <c r="IM32" s="163"/>
      <c r="IN32" s="163"/>
      <c r="IO32" s="163"/>
      <c r="IP32" s="163"/>
      <c r="IQ32" s="163"/>
      <c r="IR32" s="163"/>
      <c r="IS32" s="163"/>
      <c r="IT32" s="163"/>
      <c r="IU32" s="163"/>
      <c r="IV32" s="163"/>
      <c r="IW32" s="163"/>
      <c r="IX32" s="163"/>
      <c r="IY32" s="163"/>
      <c r="IZ32" s="163"/>
      <c r="JA32" s="258"/>
      <c r="JH32" s="293" t="s">
        <v>252</v>
      </c>
      <c r="JI32" s="294">
        <f>JI31-JI25-JI26</f>
        <v>25540680.800000001</v>
      </c>
    </row>
    <row r="33" spans="10:269" ht="20.399999999999999" hidden="1" x14ac:dyDescent="0.25">
      <c r="J33" s="25"/>
      <c r="K33" s="25"/>
      <c r="L33" s="25" t="e">
        <f>L31-#REF!</f>
        <v>#REF!</v>
      </c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7"/>
      <c r="DA33" s="257"/>
      <c r="DB33" s="257"/>
      <c r="DC33" s="257"/>
      <c r="DD33" s="257"/>
      <c r="DE33" s="257"/>
      <c r="DF33" s="257"/>
      <c r="DG33" s="257"/>
      <c r="DH33" s="257"/>
      <c r="DI33" s="257"/>
      <c r="DJ33" s="257"/>
      <c r="DK33" s="257"/>
      <c r="DL33" s="257"/>
      <c r="DM33" s="257"/>
      <c r="DN33" s="257"/>
      <c r="DO33" s="257"/>
      <c r="DP33" s="257"/>
      <c r="DQ33" s="257"/>
      <c r="DR33" s="257"/>
      <c r="DS33" s="257"/>
      <c r="DT33" s="257"/>
      <c r="DU33" s="257"/>
      <c r="DV33" s="257"/>
      <c r="DW33" s="257"/>
      <c r="DX33" s="257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Z33" s="258"/>
      <c r="HA33" s="258"/>
      <c r="HB33" s="258"/>
      <c r="HC33" s="258"/>
      <c r="HD33" s="215"/>
      <c r="HE33" s="215"/>
      <c r="HF33" s="215"/>
      <c r="HG33" s="296"/>
      <c r="HH33" s="296"/>
      <c r="HI33" s="296"/>
      <c r="HJ33" s="296"/>
      <c r="HK33" s="296"/>
      <c r="HL33" s="296"/>
      <c r="HM33" s="296"/>
      <c r="HN33" s="296"/>
      <c r="HO33" s="296"/>
      <c r="HP33" s="296"/>
      <c r="HQ33" s="296"/>
      <c r="HR33" s="295" t="s">
        <v>260</v>
      </c>
      <c r="HS33" s="226">
        <v>40655653.119999997</v>
      </c>
      <c r="HT33" s="226">
        <v>40655653.119999997</v>
      </c>
      <c r="HU33" s="296"/>
      <c r="HV33" s="296"/>
      <c r="HW33" s="296"/>
      <c r="HX33" s="296"/>
      <c r="HY33" s="296"/>
      <c r="HZ33" s="296"/>
      <c r="IA33" s="296"/>
      <c r="IB33" s="296"/>
      <c r="IC33" s="296"/>
      <c r="ID33" s="296"/>
      <c r="IE33" s="296"/>
      <c r="IF33" s="296"/>
      <c r="IG33" s="296"/>
      <c r="IH33" s="296"/>
      <c r="II33" s="296"/>
      <c r="IJ33" s="296"/>
      <c r="IK33" s="296"/>
      <c r="IL33" s="296"/>
      <c r="IM33" s="296"/>
      <c r="IN33" s="296"/>
      <c r="IO33" s="296"/>
      <c r="IP33" s="296"/>
      <c r="IQ33" s="296"/>
      <c r="IR33" s="296"/>
      <c r="IS33" s="296"/>
      <c r="IT33" s="296"/>
      <c r="IU33" s="296"/>
      <c r="IV33" s="296"/>
      <c r="IW33" s="296"/>
      <c r="IX33" s="296"/>
      <c r="IY33" s="296"/>
      <c r="IZ33" s="296"/>
      <c r="JA33" s="25"/>
      <c r="JI33" s="170" t="s">
        <v>261</v>
      </c>
    </row>
    <row r="34" spans="10:269" x14ac:dyDescent="0.25"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810"/>
      <c r="AB34" s="490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28" t="e">
        <f>BH17+BH29+BH30</f>
        <v>#REF!</v>
      </c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7"/>
      <c r="DA34" s="257"/>
      <c r="DB34" s="257"/>
      <c r="DC34" s="257"/>
      <c r="DD34" s="257"/>
      <c r="DE34" s="257"/>
      <c r="DF34" s="257"/>
      <c r="DG34" s="257"/>
      <c r="DH34" s="257"/>
      <c r="DI34" s="257"/>
      <c r="DJ34" s="257"/>
      <c r="DK34" s="257"/>
      <c r="DL34" s="257"/>
      <c r="DM34" s="257"/>
      <c r="DN34" s="257"/>
      <c r="DO34" s="257"/>
      <c r="DP34" s="257"/>
      <c r="DQ34" s="257"/>
      <c r="DR34" s="257"/>
      <c r="DS34" s="257"/>
      <c r="DT34" s="257"/>
      <c r="DU34" s="257"/>
      <c r="DV34" s="257"/>
      <c r="DW34" s="257"/>
      <c r="DX34" s="257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Z34" s="258"/>
      <c r="HA34" s="258"/>
      <c r="HB34" s="258"/>
      <c r="HC34" s="258"/>
      <c r="HD34" s="249"/>
      <c r="HE34" s="249"/>
      <c r="HF34" s="249"/>
      <c r="HG34" s="249"/>
      <c r="HH34" s="249"/>
      <c r="HI34" s="249"/>
      <c r="HJ34" s="249"/>
      <c r="HK34" s="249"/>
      <c r="HL34" s="249"/>
      <c r="HM34" s="249"/>
      <c r="HN34" s="249"/>
      <c r="HO34" s="249"/>
      <c r="HP34" s="249"/>
      <c r="HQ34" s="249"/>
      <c r="HR34" s="297" t="s">
        <v>262</v>
      </c>
      <c r="HS34" s="298">
        <v>29475253.120000001</v>
      </c>
      <c r="HT34" s="298">
        <v>29475253.120000001</v>
      </c>
      <c r="HU34" s="249"/>
      <c r="HV34" s="249"/>
      <c r="HW34" s="249"/>
      <c r="HX34" s="249"/>
      <c r="HY34" s="249"/>
      <c r="HZ34" s="249"/>
      <c r="IA34" s="249"/>
      <c r="IB34" s="249"/>
      <c r="IC34" s="249"/>
      <c r="ID34" s="249"/>
      <c r="IE34" s="249"/>
      <c r="IF34" s="249"/>
      <c r="IG34" s="249"/>
      <c r="IH34" s="249"/>
      <c r="II34" s="249"/>
      <c r="IJ34" s="249"/>
      <c r="IK34" s="249"/>
      <c r="IL34" s="249"/>
      <c r="IM34" s="249"/>
      <c r="IN34" s="249"/>
      <c r="IO34" s="249"/>
      <c r="IP34" s="249"/>
      <c r="IQ34" s="249"/>
      <c r="IR34" s="249"/>
      <c r="IS34" s="249"/>
      <c r="IT34" s="249"/>
      <c r="IU34" s="249"/>
      <c r="IV34" s="249"/>
      <c r="IW34" s="249"/>
      <c r="IX34" s="249"/>
      <c r="IY34" s="249"/>
      <c r="IZ34" s="249"/>
      <c r="JA34" s="25"/>
      <c r="JI34" s="299">
        <v>39423588.359999999</v>
      </c>
    </row>
    <row r="35" spans="10:269" x14ac:dyDescent="0.25"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7"/>
      <c r="DA35" s="257"/>
      <c r="DB35" s="257"/>
      <c r="DC35" s="257"/>
      <c r="DD35" s="257"/>
      <c r="DE35" s="257"/>
      <c r="DF35" s="257"/>
      <c r="DG35" s="257"/>
      <c r="DH35" s="257"/>
      <c r="DI35" s="257"/>
      <c r="DJ35" s="257"/>
      <c r="DK35" s="257"/>
      <c r="DL35" s="257"/>
      <c r="DM35" s="257"/>
      <c r="DN35" s="257"/>
      <c r="DO35" s="257"/>
      <c r="DP35" s="257"/>
      <c r="DQ35" s="257"/>
      <c r="DR35" s="257"/>
      <c r="DS35" s="257"/>
      <c r="DT35" s="257"/>
      <c r="DU35" s="257"/>
      <c r="DV35" s="257"/>
      <c r="DW35" s="257"/>
      <c r="DX35" s="257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Z35" s="258"/>
      <c r="HA35" s="258"/>
      <c r="HB35" s="258"/>
      <c r="HC35" s="258"/>
      <c r="HD35" s="249"/>
      <c r="HE35" s="249"/>
      <c r="HF35" s="249"/>
      <c r="HG35" s="249"/>
      <c r="HH35" s="249"/>
      <c r="HI35" s="249"/>
      <c r="HJ35" s="249"/>
      <c r="HK35" s="249"/>
      <c r="HL35" s="249"/>
      <c r="HM35" s="249"/>
      <c r="HN35" s="249"/>
      <c r="HO35" s="249"/>
      <c r="HP35" s="249"/>
      <c r="HQ35" s="249"/>
      <c r="HR35" s="297" t="s">
        <v>263</v>
      </c>
      <c r="HS35" s="298">
        <v>4916897.38</v>
      </c>
      <c r="HT35" s="298">
        <v>4916897.38</v>
      </c>
      <c r="HU35" s="249"/>
      <c r="HV35" s="249"/>
      <c r="HW35" s="249"/>
      <c r="HX35" s="249"/>
      <c r="HY35" s="249"/>
      <c r="HZ35" s="249"/>
      <c r="IA35" s="249"/>
      <c r="IB35" s="249"/>
      <c r="IC35" s="249"/>
      <c r="ID35" s="249"/>
      <c r="IE35" s="249"/>
      <c r="IF35" s="249"/>
      <c r="IG35" s="249"/>
      <c r="IH35" s="249"/>
      <c r="II35" s="249"/>
      <c r="IJ35" s="249"/>
      <c r="IK35" s="249"/>
      <c r="IL35" s="249"/>
      <c r="IM35" s="249"/>
      <c r="IN35" s="249"/>
      <c r="IO35" s="249"/>
      <c r="IP35" s="249"/>
      <c r="IQ35" s="249"/>
      <c r="IR35" s="249"/>
      <c r="IS35" s="249"/>
      <c r="IT35" s="249"/>
      <c r="IU35" s="249"/>
      <c r="IV35" s="249"/>
      <c r="IW35" s="249"/>
      <c r="IX35" s="249"/>
      <c r="IY35" s="249"/>
      <c r="IZ35" s="249"/>
      <c r="JA35" s="25"/>
      <c r="JH35" s="300" t="s">
        <v>252</v>
      </c>
      <c r="JI35" s="301">
        <f>JI34-JI25-JI26</f>
        <v>25590680.800000001</v>
      </c>
    </row>
    <row r="36" spans="10:269" x14ac:dyDescent="0.25"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7"/>
      <c r="DA36" s="257"/>
      <c r="DB36" s="257"/>
      <c r="DC36" s="257"/>
      <c r="DD36" s="257"/>
      <c r="DE36" s="257"/>
      <c r="DF36" s="257"/>
      <c r="DG36" s="257"/>
      <c r="DH36" s="257"/>
      <c r="DI36" s="257"/>
      <c r="DJ36" s="257"/>
      <c r="DK36" s="257"/>
      <c r="DL36" s="257"/>
      <c r="DM36" s="257"/>
      <c r="DN36" s="257"/>
      <c r="DO36" s="257"/>
      <c r="DP36" s="257"/>
      <c r="DQ36" s="257"/>
      <c r="DR36" s="257"/>
      <c r="DS36" s="257"/>
      <c r="DT36" s="257"/>
      <c r="DU36" s="257"/>
      <c r="DV36" s="257"/>
      <c r="DW36" s="257"/>
      <c r="DX36" s="257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Z36" s="258"/>
      <c r="HA36" s="258"/>
      <c r="HB36" s="258"/>
      <c r="HC36" s="258"/>
      <c r="HD36" s="271"/>
      <c r="HE36" s="271"/>
      <c r="HF36" s="271"/>
      <c r="HG36" s="271"/>
      <c r="HH36" s="271"/>
      <c r="HI36" s="271"/>
      <c r="HJ36" s="271"/>
      <c r="HK36" s="271"/>
      <c r="HL36" s="271"/>
      <c r="HM36" s="271"/>
      <c r="HN36" s="271"/>
      <c r="HO36" s="271"/>
      <c r="HP36" s="271"/>
      <c r="HQ36" s="271"/>
      <c r="HR36" s="303" t="s">
        <v>265</v>
      </c>
      <c r="HS36" s="304">
        <f>HS34-HS35</f>
        <v>24558355.739999998</v>
      </c>
      <c r="HT36" s="304">
        <f>HT34-HT35</f>
        <v>24558355.739999998</v>
      </c>
      <c r="HU36" s="271"/>
      <c r="HV36" s="271"/>
      <c r="HW36" s="271"/>
      <c r="HX36" s="271"/>
      <c r="HY36" s="271"/>
      <c r="HZ36" s="271"/>
      <c r="IA36" s="271"/>
      <c r="IB36" s="271"/>
      <c r="IC36" s="271"/>
      <c r="ID36" s="271"/>
      <c r="IE36" s="271"/>
      <c r="IF36" s="271"/>
      <c r="IG36" s="271"/>
      <c r="IH36" s="271"/>
      <c r="II36" s="271"/>
      <c r="IJ36" s="271"/>
      <c r="IK36" s="271"/>
      <c r="IL36" s="271"/>
      <c r="IM36" s="271"/>
      <c r="IN36" s="271"/>
      <c r="IO36" s="271"/>
      <c r="IP36" s="271"/>
      <c r="IQ36" s="271"/>
      <c r="IR36" s="271"/>
      <c r="IS36" s="271"/>
      <c r="IT36" s="271"/>
      <c r="IU36" s="271"/>
      <c r="IV36" s="271"/>
      <c r="IW36" s="271"/>
      <c r="IX36" s="271"/>
      <c r="IY36" s="271"/>
      <c r="IZ36" s="271"/>
      <c r="JA36" s="25"/>
    </row>
    <row r="37" spans="10:269" x14ac:dyDescent="0.25"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7"/>
      <c r="DA37" s="257"/>
      <c r="DB37" s="257"/>
      <c r="DC37" s="257"/>
      <c r="DD37" s="257"/>
      <c r="DE37" s="257"/>
      <c r="DF37" s="257"/>
      <c r="DG37" s="257"/>
      <c r="DH37" s="257"/>
      <c r="DI37" s="257"/>
      <c r="DJ37" s="257"/>
      <c r="DK37" s="257"/>
      <c r="DL37" s="257"/>
      <c r="DM37" s="257"/>
      <c r="DN37" s="257"/>
      <c r="DO37" s="257"/>
      <c r="DP37" s="257"/>
      <c r="DQ37" s="257"/>
      <c r="DR37" s="257"/>
      <c r="DS37" s="257"/>
      <c r="DT37" s="257"/>
      <c r="DU37" s="257"/>
      <c r="DV37" s="257"/>
      <c r="DW37" s="257"/>
      <c r="DX37" s="257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Z37" s="258"/>
      <c r="HA37" s="258"/>
      <c r="HB37" s="258"/>
      <c r="HC37" s="258"/>
      <c r="HD37" s="249"/>
      <c r="HE37" s="249"/>
      <c r="HF37" s="249"/>
      <c r="HG37" s="249"/>
      <c r="HH37" s="249"/>
      <c r="HI37" s="249"/>
      <c r="HJ37" s="249"/>
      <c r="HK37" s="249"/>
      <c r="HL37" s="249"/>
      <c r="HM37" s="249"/>
      <c r="HN37" s="249"/>
      <c r="HO37" s="249"/>
      <c r="HP37" s="249"/>
      <c r="HQ37" s="249"/>
      <c r="HR37" s="303" t="s">
        <v>267</v>
      </c>
      <c r="HS37" s="298">
        <v>11180400</v>
      </c>
      <c r="HT37" s="298">
        <v>11180400</v>
      </c>
      <c r="HU37" s="249" t="e">
        <f>HS37-#REF!</f>
        <v>#REF!</v>
      </c>
      <c r="HV37" s="249"/>
      <c r="HW37" s="249"/>
      <c r="HX37" s="249"/>
      <c r="HY37" s="249"/>
      <c r="HZ37" s="249"/>
      <c r="IA37" s="249"/>
      <c r="IB37" s="249"/>
      <c r="IC37" s="249"/>
      <c r="ID37" s="249"/>
      <c r="IE37" s="249"/>
      <c r="IF37" s="249"/>
      <c r="IG37" s="249"/>
      <c r="IH37" s="249"/>
      <c r="II37" s="249"/>
      <c r="IJ37" s="249"/>
      <c r="IK37" s="249"/>
      <c r="IL37" s="249"/>
      <c r="IM37" s="249"/>
      <c r="IN37" s="249"/>
      <c r="IO37" s="249"/>
      <c r="IP37" s="249"/>
      <c r="IQ37" s="249"/>
      <c r="IR37" s="249"/>
      <c r="IS37" s="249"/>
      <c r="IT37" s="249"/>
      <c r="IU37" s="249"/>
      <c r="IV37" s="249"/>
      <c r="IW37" s="249"/>
      <c r="IX37" s="249"/>
      <c r="IY37" s="249"/>
      <c r="IZ37" s="249"/>
      <c r="JA37" s="25"/>
    </row>
    <row r="38" spans="10:269" x14ac:dyDescent="0.25"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7"/>
      <c r="DA38" s="257"/>
      <c r="DB38" s="257"/>
      <c r="DC38" s="257"/>
      <c r="DD38" s="257"/>
      <c r="DE38" s="257"/>
      <c r="DF38" s="257"/>
      <c r="DG38" s="257"/>
      <c r="DH38" s="257"/>
      <c r="DI38" s="257"/>
      <c r="DJ38" s="257"/>
      <c r="DK38" s="257"/>
      <c r="DL38" s="257"/>
      <c r="DM38" s="257"/>
      <c r="DN38" s="257"/>
      <c r="DO38" s="257"/>
      <c r="DP38" s="257"/>
      <c r="DQ38" s="257"/>
      <c r="DR38" s="257"/>
      <c r="DS38" s="257"/>
      <c r="DT38" s="257"/>
      <c r="DU38" s="257"/>
      <c r="DV38" s="257"/>
      <c r="DW38" s="257"/>
      <c r="DX38" s="257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Z38" s="258"/>
      <c r="HA38" s="258"/>
      <c r="HB38" s="258"/>
      <c r="HC38" s="258"/>
      <c r="HD38" s="249"/>
      <c r="HE38" s="249"/>
      <c r="HF38" s="249"/>
      <c r="HG38" s="249"/>
      <c r="HH38" s="249"/>
      <c r="HI38" s="249"/>
      <c r="HJ38" s="249"/>
      <c r="HK38" s="249"/>
      <c r="HL38" s="249"/>
      <c r="HM38" s="249"/>
      <c r="HN38" s="249"/>
      <c r="HO38" s="249"/>
      <c r="HP38" s="249"/>
      <c r="HQ38" s="249"/>
      <c r="HR38" s="25"/>
      <c r="HS38" s="249">
        <f>HS37+HS34</f>
        <v>40655653.119999997</v>
      </c>
      <c r="HT38" s="249">
        <f>HT37+HT34</f>
        <v>40655653.119999997</v>
      </c>
      <c r="HU38" s="305" t="e">
        <f>HU37/6</f>
        <v>#REF!</v>
      </c>
      <c r="HV38" s="249"/>
      <c r="HW38" s="249"/>
      <c r="HX38" s="249"/>
      <c r="HY38" s="249"/>
      <c r="HZ38" s="249"/>
      <c r="IA38" s="249"/>
      <c r="IB38" s="249"/>
      <c r="IC38" s="249"/>
      <c r="ID38" s="249"/>
      <c r="IE38" s="249"/>
      <c r="IF38" s="249"/>
      <c r="IG38" s="249"/>
      <c r="IH38" s="249"/>
      <c r="II38" s="249"/>
      <c r="IJ38" s="249"/>
      <c r="IK38" s="249"/>
      <c r="IL38" s="249"/>
      <c r="IM38" s="249"/>
      <c r="IN38" s="249"/>
      <c r="IO38" s="249"/>
      <c r="IP38" s="249"/>
      <c r="IQ38" s="249"/>
      <c r="IR38" s="249"/>
      <c r="IS38" s="249"/>
      <c r="IT38" s="249"/>
      <c r="IU38" s="249"/>
      <c r="IV38" s="249"/>
      <c r="IW38" s="249"/>
      <c r="IX38" s="249"/>
      <c r="IY38" s="249"/>
      <c r="IZ38" s="249"/>
      <c r="JA38" s="25"/>
    </row>
    <row r="39" spans="10:269" x14ac:dyDescent="0.25"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7"/>
      <c r="DA39" s="257"/>
      <c r="DB39" s="257"/>
      <c r="DC39" s="257"/>
      <c r="DD39" s="257"/>
      <c r="DE39" s="257"/>
      <c r="DF39" s="257"/>
      <c r="DG39" s="257"/>
      <c r="DH39" s="257"/>
      <c r="DI39" s="257"/>
      <c r="DJ39" s="257"/>
      <c r="DK39" s="257"/>
      <c r="DL39" s="257"/>
      <c r="DM39" s="257"/>
      <c r="DN39" s="257"/>
      <c r="DO39" s="257"/>
      <c r="DP39" s="257"/>
      <c r="DQ39" s="257"/>
      <c r="DR39" s="257"/>
      <c r="DS39" s="257"/>
      <c r="DT39" s="257"/>
      <c r="DU39" s="257"/>
      <c r="DV39" s="257"/>
      <c r="DW39" s="257"/>
      <c r="DX39" s="257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Z39" s="258"/>
      <c r="HA39" s="258"/>
      <c r="HB39" s="258"/>
      <c r="HC39" s="258"/>
      <c r="HD39" s="249"/>
      <c r="HE39" s="249"/>
      <c r="HF39" s="249"/>
      <c r="HG39" s="249"/>
      <c r="HH39" s="249"/>
      <c r="HI39" s="249"/>
      <c r="HJ39" s="249"/>
      <c r="HK39" s="249"/>
      <c r="HL39" s="249"/>
      <c r="HM39" s="249"/>
      <c r="HN39" s="249"/>
      <c r="HO39" s="249"/>
      <c r="HP39" s="249"/>
      <c r="HQ39" s="249"/>
      <c r="HR39" s="25"/>
      <c r="HS39" s="249"/>
      <c r="HT39" s="249"/>
      <c r="HU39" s="249"/>
      <c r="HV39" s="249"/>
      <c r="HW39" s="249"/>
      <c r="HX39" s="249"/>
      <c r="HY39" s="249"/>
      <c r="HZ39" s="249"/>
      <c r="IA39" s="249"/>
      <c r="IB39" s="249"/>
      <c r="IC39" s="249"/>
      <c r="ID39" s="249"/>
      <c r="IE39" s="249"/>
      <c r="IF39" s="249"/>
      <c r="IG39" s="249"/>
      <c r="IH39" s="249"/>
      <c r="II39" s="249"/>
      <c r="IJ39" s="249"/>
      <c r="IK39" s="249"/>
      <c r="IL39" s="249"/>
      <c r="IM39" s="249"/>
      <c r="IN39" s="249"/>
      <c r="IO39" s="249"/>
      <c r="IP39" s="249"/>
      <c r="IQ39" s="249"/>
      <c r="IR39" s="249"/>
      <c r="IS39" s="249"/>
      <c r="IT39" s="249"/>
      <c r="IU39" s="249"/>
      <c r="IV39" s="249"/>
      <c r="IW39" s="249"/>
      <c r="IX39" s="249"/>
      <c r="IY39" s="249"/>
      <c r="IZ39" s="249"/>
      <c r="JA39" s="25"/>
    </row>
    <row r="40" spans="10:269" x14ac:dyDescent="0.25"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7"/>
      <c r="DA40" s="257"/>
      <c r="DB40" s="257"/>
      <c r="DC40" s="257"/>
      <c r="DD40" s="257"/>
      <c r="DE40" s="257"/>
      <c r="DF40" s="257"/>
      <c r="DG40" s="257"/>
      <c r="DH40" s="257"/>
      <c r="DI40" s="257"/>
      <c r="DJ40" s="257"/>
      <c r="DK40" s="257"/>
      <c r="DL40" s="257"/>
      <c r="DM40" s="257"/>
      <c r="DN40" s="257"/>
      <c r="DO40" s="257"/>
      <c r="DP40" s="257"/>
      <c r="DQ40" s="257"/>
      <c r="DR40" s="257"/>
      <c r="DS40" s="257"/>
      <c r="DT40" s="257"/>
      <c r="DU40" s="257"/>
      <c r="DV40" s="257"/>
      <c r="DW40" s="257"/>
      <c r="DX40" s="257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Z40" s="258"/>
      <c r="HA40" s="258"/>
      <c r="HB40" s="258"/>
      <c r="HC40" s="258"/>
      <c r="HD40" s="257"/>
      <c r="HE40" s="257"/>
      <c r="HF40" s="257"/>
      <c r="HG40" s="257"/>
      <c r="HH40" s="257"/>
      <c r="HI40" s="257"/>
      <c r="HJ40" s="257"/>
      <c r="HK40" s="257"/>
      <c r="HL40" s="257"/>
      <c r="HM40" s="257"/>
      <c r="HN40" s="257"/>
      <c r="HO40" s="257"/>
      <c r="HP40" s="257"/>
      <c r="HQ40" s="257"/>
      <c r="HR40" s="25"/>
      <c r="HS40" s="257">
        <f>HS36-HS27</f>
        <v>-7073644.2599999998</v>
      </c>
      <c r="HT40" s="257"/>
      <c r="HU40" s="257"/>
      <c r="HV40" s="257"/>
      <c r="HW40" s="257"/>
      <c r="HX40" s="257"/>
      <c r="HY40" s="257"/>
      <c r="HZ40" s="257"/>
      <c r="IA40" s="257"/>
      <c r="IB40" s="257"/>
      <c r="IC40" s="257"/>
      <c r="ID40" s="257"/>
      <c r="IE40" s="257"/>
      <c r="IF40" s="257"/>
      <c r="IG40" s="257"/>
      <c r="IH40" s="257"/>
      <c r="II40" s="257"/>
      <c r="IJ40" s="257"/>
      <c r="IK40" s="257"/>
      <c r="IL40" s="257"/>
      <c r="IM40" s="257"/>
      <c r="IN40" s="257"/>
      <c r="IO40" s="257"/>
      <c r="IP40" s="257"/>
      <c r="IQ40" s="257"/>
      <c r="IR40" s="257"/>
      <c r="IS40" s="257"/>
      <c r="IT40" s="257"/>
      <c r="IU40" s="257"/>
      <c r="IV40" s="257"/>
      <c r="IW40" s="257"/>
      <c r="IX40" s="257"/>
      <c r="IY40" s="257"/>
      <c r="IZ40" s="257"/>
      <c r="JA40" s="25"/>
    </row>
    <row r="41" spans="10:269" x14ac:dyDescent="0.25"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7"/>
      <c r="DA41" s="257"/>
      <c r="DB41" s="257"/>
      <c r="DC41" s="257"/>
      <c r="DD41" s="257"/>
      <c r="DE41" s="257"/>
      <c r="DF41" s="257"/>
      <c r="DG41" s="257"/>
      <c r="DH41" s="257"/>
      <c r="DI41" s="257"/>
      <c r="DJ41" s="257"/>
      <c r="DK41" s="257"/>
      <c r="DL41" s="257"/>
      <c r="DM41" s="257"/>
      <c r="DN41" s="257"/>
      <c r="DO41" s="257"/>
      <c r="DP41" s="257"/>
      <c r="DQ41" s="257"/>
      <c r="DR41" s="257"/>
      <c r="DS41" s="257"/>
      <c r="DT41" s="257"/>
      <c r="DU41" s="257"/>
      <c r="DV41" s="257"/>
      <c r="DW41" s="257"/>
      <c r="DX41" s="257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Z41" s="258"/>
      <c r="HA41" s="258"/>
      <c r="HB41" s="258"/>
      <c r="HC41" s="258"/>
      <c r="HD41" s="257"/>
      <c r="HE41" s="257"/>
      <c r="HF41" s="257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306" t="s">
        <v>269</v>
      </c>
      <c r="HS41" s="257">
        <f>HS40/6</f>
        <v>-1178940.71</v>
      </c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5"/>
      <c r="IK41" s="25"/>
      <c r="IL41" s="25"/>
      <c r="IM41" s="25"/>
      <c r="IN41" s="25"/>
      <c r="IO41" s="25"/>
      <c r="IP41" s="25"/>
      <c r="IQ41" s="25"/>
      <c r="IR41" s="25"/>
      <c r="IS41" s="25"/>
      <c r="IT41" s="25"/>
      <c r="IU41" s="25"/>
      <c r="IV41" s="25"/>
      <c r="IW41" s="25"/>
      <c r="IX41" s="25"/>
      <c r="IY41" s="25"/>
      <c r="IZ41" s="25"/>
      <c r="JA41" s="25"/>
    </row>
    <row r="42" spans="10:269" x14ac:dyDescent="0.25"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7"/>
      <c r="DA42" s="257"/>
      <c r="DB42" s="257"/>
      <c r="DC42" s="257"/>
      <c r="DD42" s="257"/>
      <c r="DE42" s="257"/>
      <c r="DF42" s="257"/>
      <c r="DG42" s="257"/>
      <c r="DH42" s="257"/>
      <c r="DI42" s="257"/>
      <c r="DJ42" s="257"/>
      <c r="DK42" s="257"/>
      <c r="DL42" s="257"/>
      <c r="DM42" s="257"/>
      <c r="DN42" s="257"/>
      <c r="DO42" s="257"/>
      <c r="DP42" s="257"/>
      <c r="DQ42" s="257"/>
      <c r="DR42" s="257"/>
      <c r="DS42" s="257"/>
      <c r="DT42" s="257"/>
      <c r="DU42" s="257"/>
      <c r="DV42" s="257"/>
      <c r="DW42" s="257"/>
      <c r="DX42" s="257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Z42" s="258"/>
      <c r="HA42" s="258"/>
      <c r="HB42" s="258"/>
      <c r="HC42" s="258"/>
      <c r="HD42" s="257"/>
      <c r="HE42" s="257"/>
      <c r="HF42" s="257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307">
        <v>1906883.33</v>
      </c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25"/>
      <c r="IX42" s="25"/>
      <c r="IY42" s="25"/>
      <c r="IZ42" s="25"/>
      <c r="JA42" s="25"/>
    </row>
    <row r="43" spans="10:269" x14ac:dyDescent="0.25"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7"/>
      <c r="DA43" s="257"/>
      <c r="DB43" s="257"/>
      <c r="DC43" s="257"/>
      <c r="DD43" s="257"/>
      <c r="DE43" s="257"/>
      <c r="DF43" s="257"/>
      <c r="DG43" s="257"/>
      <c r="DH43" s="257"/>
      <c r="DI43" s="257"/>
      <c r="DJ43" s="257"/>
      <c r="DK43" s="257"/>
      <c r="DL43" s="257"/>
      <c r="DM43" s="257"/>
      <c r="DN43" s="257"/>
      <c r="DO43" s="257"/>
      <c r="DP43" s="257"/>
      <c r="DQ43" s="257"/>
      <c r="DR43" s="257"/>
      <c r="DS43" s="257"/>
      <c r="DT43" s="257"/>
      <c r="DU43" s="257"/>
      <c r="DV43" s="257"/>
      <c r="DW43" s="257"/>
      <c r="DX43" s="257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7"/>
      <c r="GV43" s="257"/>
      <c r="GW43" s="257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  <c r="IO43" s="25"/>
      <c r="IP43" s="25"/>
      <c r="IQ43" s="25"/>
      <c r="IR43" s="25"/>
      <c r="IS43" s="25"/>
      <c r="IT43" s="25"/>
      <c r="IU43" s="25"/>
      <c r="IV43" s="25"/>
      <c r="IW43" s="25"/>
      <c r="IX43" s="25"/>
      <c r="IY43" s="25"/>
      <c r="IZ43" s="25"/>
      <c r="JA43" s="25"/>
    </row>
    <row r="44" spans="10:269" x14ac:dyDescent="0.25"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7"/>
      <c r="DA44" s="257"/>
      <c r="DB44" s="257"/>
      <c r="DC44" s="257"/>
      <c r="DD44" s="257"/>
      <c r="DE44" s="257"/>
      <c r="DF44" s="257"/>
      <c r="DG44" s="257"/>
      <c r="DH44" s="257"/>
      <c r="DI44" s="257"/>
      <c r="DJ44" s="257"/>
      <c r="DK44" s="257"/>
      <c r="DL44" s="257"/>
      <c r="DM44" s="257"/>
      <c r="DN44" s="257"/>
      <c r="DO44" s="257"/>
      <c r="DP44" s="257"/>
      <c r="DQ44" s="257"/>
      <c r="DR44" s="257"/>
      <c r="DS44" s="257"/>
      <c r="DT44" s="257"/>
      <c r="DU44" s="257"/>
      <c r="DV44" s="257"/>
      <c r="DW44" s="257"/>
      <c r="DX44" s="257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7"/>
      <c r="GV44" s="257"/>
      <c r="GW44" s="257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25"/>
      <c r="IX44" s="25"/>
      <c r="IY44" s="25"/>
      <c r="IZ44" s="25"/>
      <c r="JA44" s="25"/>
    </row>
    <row r="45" spans="10:269" x14ac:dyDescent="0.25"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7"/>
      <c r="DA45" s="257"/>
      <c r="DB45" s="257"/>
      <c r="DC45" s="257"/>
      <c r="DD45" s="257"/>
      <c r="DE45" s="257"/>
      <c r="DF45" s="257"/>
      <c r="DG45" s="257"/>
      <c r="DH45" s="257"/>
      <c r="DI45" s="257"/>
      <c r="DJ45" s="257"/>
      <c r="DK45" s="257"/>
      <c r="DL45" s="257"/>
      <c r="DM45" s="257"/>
      <c r="DN45" s="257"/>
      <c r="DO45" s="257"/>
      <c r="DP45" s="257"/>
      <c r="DQ45" s="257"/>
      <c r="DR45" s="257"/>
      <c r="DS45" s="257"/>
      <c r="DT45" s="257"/>
      <c r="DU45" s="257"/>
      <c r="DV45" s="257"/>
      <c r="DW45" s="257"/>
      <c r="DX45" s="257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180"/>
      <c r="GV45" s="273" t="s">
        <v>247</v>
      </c>
      <c r="GW45" s="273" t="s">
        <v>248</v>
      </c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  <c r="IN45" s="25"/>
      <c r="IO45" s="25"/>
      <c r="IP45" s="25"/>
      <c r="IQ45" s="25"/>
      <c r="IR45" s="25"/>
      <c r="IS45" s="25"/>
      <c r="IT45" s="25"/>
      <c r="IU45" s="25"/>
      <c r="IV45" s="25"/>
      <c r="IW45" s="25"/>
      <c r="IX45" s="25"/>
      <c r="IY45" s="25"/>
      <c r="IZ45" s="25"/>
      <c r="JA45" s="25"/>
    </row>
    <row r="46" spans="10:269" x14ac:dyDescent="0.25"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7"/>
      <c r="DA46" s="257"/>
      <c r="DB46" s="257"/>
      <c r="DC46" s="257"/>
      <c r="DD46" s="257"/>
      <c r="DE46" s="257"/>
      <c r="DF46" s="257"/>
      <c r="DG46" s="257"/>
      <c r="DH46" s="257"/>
      <c r="DI46" s="257"/>
      <c r="DJ46" s="257"/>
      <c r="DK46" s="257"/>
      <c r="DL46" s="257"/>
      <c r="DM46" s="257"/>
      <c r="DN46" s="257"/>
      <c r="DO46" s="257"/>
      <c r="DP46" s="257"/>
      <c r="DQ46" s="257"/>
      <c r="DR46" s="257"/>
      <c r="DS46" s="257"/>
      <c r="DT46" s="257"/>
      <c r="DU46" s="257"/>
      <c r="DV46" s="257"/>
      <c r="DW46" s="257"/>
      <c r="DX46" s="257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5"/>
      <c r="IK46" s="25"/>
      <c r="IL46" s="25"/>
      <c r="IM46" s="25"/>
      <c r="IN46" s="25"/>
      <c r="IO46" s="25"/>
      <c r="IP46" s="25"/>
      <c r="IQ46" s="25"/>
      <c r="IR46" s="25"/>
      <c r="IS46" s="25"/>
      <c r="IT46" s="25"/>
      <c r="IU46" s="25"/>
      <c r="IV46" s="25"/>
      <c r="IW46" s="25"/>
      <c r="IX46" s="25"/>
      <c r="IY46" s="25"/>
      <c r="IZ46" s="25"/>
      <c r="JA46" s="25"/>
    </row>
    <row r="47" spans="10:269" x14ac:dyDescent="0.25"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7"/>
      <c r="DA47" s="257"/>
      <c r="DB47" s="257"/>
      <c r="DC47" s="257"/>
      <c r="DD47" s="257"/>
      <c r="DE47" s="257"/>
      <c r="DF47" s="257"/>
      <c r="DG47" s="257"/>
      <c r="DH47" s="257"/>
      <c r="DI47" s="257"/>
      <c r="DJ47" s="257"/>
      <c r="DK47" s="257"/>
      <c r="DL47" s="257"/>
      <c r="DM47" s="257"/>
      <c r="DN47" s="257"/>
      <c r="DO47" s="257"/>
      <c r="DP47" s="257"/>
      <c r="DQ47" s="257"/>
      <c r="DR47" s="257"/>
      <c r="DS47" s="257"/>
      <c r="DT47" s="257"/>
      <c r="DU47" s="257"/>
      <c r="DV47" s="257"/>
      <c r="DW47" s="257"/>
      <c r="DX47" s="257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81" t="s">
        <v>253</v>
      </c>
      <c r="GV47" s="236">
        <v>42399200</v>
      </c>
      <c r="GW47" s="282">
        <f>GW48+GW49+GW50</f>
        <v>42119200</v>
      </c>
      <c r="GX47" s="210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  <c r="IL47" s="25"/>
      <c r="IM47" s="25"/>
      <c r="IN47" s="25"/>
      <c r="IO47" s="25"/>
      <c r="IP47" s="25"/>
      <c r="IQ47" s="25"/>
      <c r="IR47" s="25"/>
      <c r="IS47" s="25"/>
      <c r="IT47" s="25"/>
      <c r="IU47" s="25"/>
      <c r="IV47" s="25"/>
      <c r="IW47" s="25"/>
      <c r="IX47" s="25"/>
      <c r="IY47" s="25"/>
      <c r="IZ47" s="25"/>
      <c r="JA47" s="25"/>
    </row>
    <row r="48" spans="10:269" ht="21" x14ac:dyDescent="0.25"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7"/>
      <c r="DA48" s="257"/>
      <c r="DB48" s="257"/>
      <c r="DC48" s="257"/>
      <c r="DD48" s="257"/>
      <c r="DE48" s="257"/>
      <c r="DF48" s="257"/>
      <c r="DG48" s="257"/>
      <c r="DH48" s="257"/>
      <c r="DI48" s="257"/>
      <c r="DJ48" s="257"/>
      <c r="DK48" s="257"/>
      <c r="DL48" s="257"/>
      <c r="DM48" s="257"/>
      <c r="DN48" s="257"/>
      <c r="DO48" s="257"/>
      <c r="DP48" s="257"/>
      <c r="DQ48" s="257"/>
      <c r="DR48" s="257"/>
      <c r="DS48" s="257"/>
      <c r="DT48" s="257"/>
      <c r="DU48" s="257"/>
      <c r="DV48" s="257"/>
      <c r="DW48" s="257"/>
      <c r="DX48" s="257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72" t="s">
        <v>235</v>
      </c>
      <c r="GV48" s="210">
        <v>10745500</v>
      </c>
      <c r="GW48" s="210">
        <v>10487200</v>
      </c>
      <c r="GX48" s="285" t="s">
        <v>255</v>
      </c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</row>
    <row r="49" spans="10:285" ht="30.6" x14ac:dyDescent="0.25"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72" t="s">
        <v>256</v>
      </c>
      <c r="GV49" s="210">
        <v>8330911.2800000003</v>
      </c>
      <c r="GW49" s="210">
        <v>8330911.2800000003</v>
      </c>
      <c r="GY49" s="25"/>
      <c r="GZ49" s="271" t="s">
        <v>212</v>
      </c>
      <c r="HA49" s="271" t="s">
        <v>213</v>
      </c>
      <c r="HB49" s="271" t="s">
        <v>214</v>
      </c>
      <c r="HC49" s="271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  <c r="HR49" s="25"/>
      <c r="HS49" s="25"/>
      <c r="HT49" s="25"/>
      <c r="HU49" s="25"/>
      <c r="HV49" s="25"/>
      <c r="HW49" s="25"/>
      <c r="HX49" s="25"/>
      <c r="HY49" s="25"/>
      <c r="HZ49" s="25"/>
      <c r="IA49" s="25"/>
      <c r="IB49" s="25"/>
      <c r="IC49" s="25"/>
      <c r="ID49" s="25"/>
      <c r="IE49" s="25"/>
      <c r="IF49" s="25"/>
      <c r="IG49" s="25"/>
      <c r="IH49" s="25"/>
      <c r="II49" s="25"/>
      <c r="IJ49" s="25"/>
      <c r="IK49" s="25"/>
      <c r="IL49" s="25"/>
      <c r="IM49" s="25"/>
      <c r="IN49" s="25"/>
      <c r="IO49" s="25"/>
      <c r="IP49" s="25"/>
      <c r="IQ49" s="25"/>
      <c r="IR49" s="25"/>
      <c r="IS49" s="25"/>
      <c r="IT49" s="25"/>
      <c r="IU49" s="25"/>
      <c r="IV49" s="25"/>
      <c r="IW49" s="25"/>
      <c r="IX49" s="25"/>
      <c r="IY49" s="25"/>
      <c r="IZ49" s="25"/>
      <c r="JA49" s="25"/>
    </row>
    <row r="50" spans="10:285" ht="57.6" x14ac:dyDescent="0.25"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79" t="s">
        <v>252</v>
      </c>
      <c r="GV50" s="280">
        <f>GV47-GV48-GV49</f>
        <v>23322788.719999999</v>
      </c>
      <c r="GW50" s="288">
        <f>GU58</f>
        <v>23301088.719999999</v>
      </c>
      <c r="GX50" s="257">
        <f>GW50-GV50</f>
        <v>-21700</v>
      </c>
      <c r="GY50" s="25"/>
      <c r="GZ50" s="274" t="s">
        <v>249</v>
      </c>
      <c r="HA50" s="274" t="s">
        <v>249</v>
      </c>
      <c r="HB50" s="274" t="s">
        <v>249</v>
      </c>
      <c r="HC50" s="275"/>
      <c r="HD50" s="25"/>
      <c r="HE50" s="25"/>
      <c r="HF50" s="25"/>
      <c r="HG50" s="25"/>
      <c r="HH50" s="25"/>
      <c r="HI50" s="25"/>
      <c r="HJ50" s="25"/>
      <c r="HK50" s="25"/>
      <c r="HL50" s="25"/>
      <c r="HM50" s="25"/>
      <c r="HN50" s="25"/>
      <c r="HO50" s="25"/>
      <c r="HP50" s="25"/>
      <c r="HQ50" s="25"/>
      <c r="HR50" s="25"/>
      <c r="HS50" s="25"/>
      <c r="HT50" s="25"/>
      <c r="HU50" s="25"/>
      <c r="HV50" s="25"/>
      <c r="HW50" s="25"/>
      <c r="HX50" s="25"/>
      <c r="HY50" s="25"/>
      <c r="HZ50" s="25"/>
      <c r="IA50" s="25"/>
      <c r="IB50" s="25"/>
      <c r="IC50" s="25"/>
      <c r="ID50" s="25"/>
      <c r="IE50" s="25"/>
      <c r="IF50" s="25"/>
      <c r="IG50" s="25"/>
      <c r="IH50" s="25"/>
      <c r="II50" s="25"/>
      <c r="IJ50" s="25"/>
      <c r="IK50" s="25"/>
      <c r="IL50" s="25"/>
      <c r="IM50" s="25"/>
      <c r="IN50" s="25"/>
      <c r="IO50" s="25"/>
      <c r="IP50" s="25"/>
      <c r="IQ50" s="25"/>
      <c r="IR50" s="25"/>
      <c r="IS50" s="25"/>
      <c r="IT50" s="25"/>
      <c r="IU50" s="25"/>
      <c r="IV50" s="25"/>
      <c r="IW50" s="25"/>
      <c r="IX50" s="25"/>
      <c r="IY50" s="25"/>
      <c r="IZ50" s="25"/>
      <c r="JA50" s="25"/>
    </row>
    <row r="51" spans="10:285" s="2" customFormat="1" x14ac:dyDescent="0.25">
      <c r="J51" s="25"/>
      <c r="K51" s="25"/>
      <c r="DI51" s="1"/>
      <c r="DJ51" s="1"/>
      <c r="DK51" s="1"/>
      <c r="DZ51" s="1"/>
      <c r="EA51" s="1"/>
      <c r="EB51" s="1"/>
      <c r="EC51" s="1"/>
      <c r="ED51" s="1"/>
      <c r="EE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U51" s="1"/>
      <c r="GV51" s="258"/>
      <c r="GW51" s="289">
        <f>GX50/6</f>
        <v>-3616.6667000000002</v>
      </c>
      <c r="GX51" s="290">
        <f>GX50/6</f>
        <v>-3616.6667000000002</v>
      </c>
      <c r="GZ51" s="276">
        <v>31653700</v>
      </c>
      <c r="HA51" s="276">
        <v>31632000</v>
      </c>
      <c r="HB51" s="276">
        <v>31632000</v>
      </c>
      <c r="HC51" s="277" t="s">
        <v>251</v>
      </c>
      <c r="JN51" s="477"/>
      <c r="JO51" s="477"/>
      <c r="JP51" s="477"/>
      <c r="JQ51" s="477"/>
      <c r="JR51" s="477"/>
      <c r="JS51" s="477"/>
      <c r="JT51" s="477"/>
      <c r="JU51" s="477"/>
      <c r="JV51" s="477"/>
      <c r="JW51" s="477"/>
      <c r="JX51" s="477"/>
      <c r="JY51" s="477"/>
    </row>
    <row r="52" spans="10:285" s="2" customFormat="1" x14ac:dyDescent="0.25">
      <c r="J52" s="25"/>
      <c r="K52" s="25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25"/>
      <c r="DJ52" s="25"/>
      <c r="DK52" s="25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25"/>
      <c r="EA52" s="25"/>
      <c r="EB52" s="25"/>
      <c r="EC52" s="25"/>
      <c r="ED52" s="25"/>
      <c r="EE52" s="25"/>
      <c r="EF52" s="36"/>
      <c r="EG52" s="36"/>
      <c r="EH52" s="36"/>
      <c r="EI52" s="36"/>
      <c r="EJ52" s="36"/>
      <c r="EK52" s="36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36"/>
      <c r="GT52" s="36"/>
      <c r="GU52" s="1"/>
      <c r="GV52" s="257">
        <f>GV48-10199150</f>
        <v>546350</v>
      </c>
      <c r="GW52" s="249">
        <f>GW50-GW17</f>
        <v>23301088.719999999</v>
      </c>
      <c r="GX52" s="284"/>
      <c r="GY52" s="36"/>
      <c r="GZ52" s="210"/>
      <c r="HA52" s="210"/>
      <c r="HB52" s="248"/>
      <c r="HC52" s="248"/>
      <c r="HD52" s="36"/>
      <c r="HE52" s="36"/>
      <c r="HF52" s="36"/>
      <c r="HG52" s="36"/>
      <c r="HH52" s="36"/>
      <c r="HI52" s="36"/>
      <c r="HJ52" s="36"/>
      <c r="HK52" s="36"/>
      <c r="HL52" s="36"/>
      <c r="HM52" s="36"/>
      <c r="HN52" s="36"/>
      <c r="HO52" s="36"/>
      <c r="HP52" s="36"/>
      <c r="HQ52" s="36"/>
      <c r="HR52" s="36"/>
      <c r="HS52" s="36"/>
      <c r="HT52" s="36"/>
      <c r="HU52" s="36"/>
      <c r="HV52" s="36"/>
      <c r="HW52" s="36"/>
      <c r="HX52" s="36"/>
      <c r="HY52" s="36"/>
      <c r="HZ52" s="36"/>
      <c r="IA52" s="36"/>
      <c r="IB52" s="36"/>
      <c r="IC52" s="36"/>
      <c r="ID52" s="36"/>
      <c r="IE52" s="36"/>
      <c r="IF52" s="36"/>
      <c r="IG52" s="36"/>
      <c r="IH52" s="36"/>
      <c r="II52" s="36"/>
      <c r="IJ52" s="36"/>
      <c r="IK52" s="36"/>
      <c r="IL52" s="36"/>
      <c r="IM52" s="36"/>
      <c r="IN52" s="36"/>
      <c r="IO52" s="36"/>
      <c r="IP52" s="36"/>
      <c r="IQ52" s="36"/>
      <c r="IR52" s="36"/>
      <c r="IS52" s="36"/>
      <c r="IT52" s="36"/>
      <c r="IU52" s="36"/>
      <c r="IV52" s="36"/>
      <c r="IW52" s="36"/>
      <c r="IX52" s="36"/>
      <c r="IY52" s="36"/>
      <c r="IZ52" s="36"/>
      <c r="JA52" s="36"/>
      <c r="JN52" s="477"/>
      <c r="JO52" s="477"/>
      <c r="JP52" s="477"/>
      <c r="JQ52" s="477"/>
      <c r="JR52" s="477"/>
      <c r="JS52" s="477"/>
      <c r="JT52" s="477"/>
      <c r="JU52" s="477"/>
      <c r="JV52" s="477"/>
      <c r="JW52" s="477"/>
      <c r="JX52" s="477"/>
      <c r="JY52" s="477"/>
    </row>
    <row r="53" spans="10:285" s="2" customFormat="1" x14ac:dyDescent="0.25">
      <c r="J53" s="25"/>
      <c r="K53" s="25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25"/>
      <c r="DJ53" s="25"/>
      <c r="DK53" s="25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25"/>
      <c r="EA53" s="25"/>
      <c r="EB53" s="25"/>
      <c r="EC53" s="25"/>
      <c r="ED53" s="25"/>
      <c r="EE53" s="25"/>
      <c r="EF53" s="36"/>
      <c r="EG53" s="36"/>
      <c r="EH53" s="36"/>
      <c r="EI53" s="36"/>
      <c r="EJ53" s="36"/>
      <c r="EK53" s="36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36"/>
      <c r="GT53" s="36"/>
      <c r="GU53" s="1"/>
      <c r="GV53" s="258" t="e">
        <f>GV52/#REF!</f>
        <v>#REF!</v>
      </c>
      <c r="GW53" s="249">
        <f>12.24/6</f>
        <v>2.04</v>
      </c>
      <c r="GX53" s="1"/>
      <c r="GY53" s="36"/>
      <c r="GZ53" s="257">
        <f>GW48-GV48</f>
        <v>-258300</v>
      </c>
      <c r="HA53" s="249">
        <f>GZ53/6</f>
        <v>-43050</v>
      </c>
      <c r="HB53" s="249">
        <v>10487860.560000001</v>
      </c>
      <c r="HC53" s="249">
        <f>(GW48-HB53)/6</f>
        <v>-110.09</v>
      </c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36"/>
      <c r="IG53" s="36"/>
      <c r="IH53" s="36"/>
      <c r="II53" s="36"/>
      <c r="IJ53" s="36"/>
      <c r="IK53" s="36"/>
      <c r="IL53" s="36"/>
      <c r="IM53" s="36"/>
      <c r="IN53" s="36"/>
      <c r="IO53" s="36"/>
      <c r="IP53" s="36"/>
      <c r="IQ53" s="36"/>
      <c r="IR53" s="36"/>
      <c r="IS53" s="36"/>
      <c r="IT53" s="36"/>
      <c r="IU53" s="36"/>
      <c r="IV53" s="36"/>
      <c r="IW53" s="36"/>
      <c r="IX53" s="36"/>
      <c r="IY53" s="36"/>
      <c r="IZ53" s="36"/>
      <c r="JA53" s="36"/>
      <c r="JN53" s="477"/>
      <c r="JO53" s="477"/>
      <c r="JP53" s="477"/>
      <c r="JQ53" s="477"/>
      <c r="JR53" s="477"/>
      <c r="JS53" s="477"/>
      <c r="JT53" s="477"/>
      <c r="JU53" s="477"/>
      <c r="JV53" s="477"/>
      <c r="JW53" s="477"/>
      <c r="JX53" s="477"/>
      <c r="JY53" s="477"/>
    </row>
    <row r="54" spans="10:285" s="2" customFormat="1" x14ac:dyDescent="0.25">
      <c r="J54" s="25"/>
      <c r="K54" s="25"/>
      <c r="L54" s="36"/>
      <c r="M54" s="36"/>
      <c r="DI54" s="1"/>
      <c r="DJ54" s="1"/>
      <c r="DK54" s="1"/>
      <c r="DZ54" s="1"/>
      <c r="EA54" s="1"/>
      <c r="EB54" s="1"/>
      <c r="EC54" s="1"/>
      <c r="ED54" s="1"/>
      <c r="EE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U54" s="1"/>
      <c r="GV54" s="1"/>
      <c r="GW54" s="25"/>
      <c r="GX54" s="1"/>
      <c r="GZ54" s="258"/>
      <c r="HA54" s="248"/>
      <c r="HB54" s="286">
        <v>10488531.6</v>
      </c>
      <c r="HC54" s="286">
        <f>(GW48-HB54)/6</f>
        <v>-221.93</v>
      </c>
      <c r="JN54" s="477"/>
      <c r="JO54" s="477"/>
      <c r="JP54" s="477"/>
      <c r="JQ54" s="477"/>
      <c r="JR54" s="477"/>
      <c r="JS54" s="477"/>
      <c r="JT54" s="477"/>
      <c r="JU54" s="477"/>
      <c r="JV54" s="477"/>
      <c r="JW54" s="477"/>
      <c r="JX54" s="477"/>
      <c r="JY54" s="477"/>
    </row>
    <row r="55" spans="10:285" s="2" customFormat="1" x14ac:dyDescent="0.25">
      <c r="J55" s="25"/>
      <c r="K55" s="25"/>
      <c r="L55" s="36"/>
      <c r="M55" s="36"/>
      <c r="DI55" s="1"/>
      <c r="DJ55" s="1"/>
      <c r="DK55" s="1"/>
      <c r="DZ55" s="1"/>
      <c r="EA55" s="1"/>
      <c r="EB55" s="1"/>
      <c r="EC55" s="1"/>
      <c r="ED55" s="1"/>
      <c r="EE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U55" s="302" t="s">
        <v>264</v>
      </c>
      <c r="GV55" s="302" t="s">
        <v>255</v>
      </c>
      <c r="GW55" s="302"/>
      <c r="GX55" s="25"/>
      <c r="GZ55" s="257"/>
      <c r="HA55" s="271" t="s">
        <v>212</v>
      </c>
      <c r="HB55" s="271" t="s">
        <v>213</v>
      </c>
      <c r="HC55" s="271"/>
      <c r="JN55" s="477"/>
      <c r="JO55" s="477"/>
      <c r="JP55" s="477"/>
      <c r="JQ55" s="477"/>
      <c r="JR55" s="477"/>
      <c r="JS55" s="477"/>
      <c r="JT55" s="477"/>
      <c r="JU55" s="477"/>
      <c r="JV55" s="477"/>
      <c r="JW55" s="477"/>
      <c r="JX55" s="477"/>
      <c r="JY55" s="477"/>
    </row>
    <row r="56" spans="10:285" s="2" customFormat="1" ht="61.2" x14ac:dyDescent="0.25">
      <c r="J56" s="25"/>
      <c r="K56" s="25"/>
      <c r="L56" s="36"/>
      <c r="M56" s="36"/>
      <c r="DI56" s="1"/>
      <c r="DJ56" s="1"/>
      <c r="DK56" s="1"/>
      <c r="DZ56" s="1"/>
      <c r="EA56" s="1"/>
      <c r="EB56" s="1"/>
      <c r="EC56" s="1"/>
      <c r="ED56" s="1"/>
      <c r="EE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U56" s="257">
        <v>31632000</v>
      </c>
      <c r="GV56" s="257" t="s">
        <v>266</v>
      </c>
      <c r="GW56" s="25"/>
      <c r="GX56" s="25"/>
      <c r="GZ56" s="291" t="s">
        <v>258</v>
      </c>
      <c r="HA56" s="292" t="s">
        <v>259</v>
      </c>
      <c r="HB56" s="292" t="s">
        <v>259</v>
      </c>
      <c r="HC56" s="163"/>
      <c r="JN56" s="477"/>
      <c r="JO56" s="477"/>
      <c r="JP56" s="477"/>
      <c r="JQ56" s="477"/>
      <c r="JR56" s="477"/>
      <c r="JS56" s="477"/>
      <c r="JT56" s="477"/>
      <c r="JU56" s="477"/>
      <c r="JV56" s="477"/>
      <c r="JW56" s="477"/>
      <c r="JX56" s="477"/>
      <c r="JY56" s="477"/>
    </row>
    <row r="57" spans="10:285" s="2" customFormat="1" x14ac:dyDescent="0.25">
      <c r="J57" s="25"/>
      <c r="K57" s="25"/>
      <c r="L57" s="36"/>
      <c r="M57" s="36"/>
      <c r="DI57" s="1"/>
      <c r="DJ57" s="1"/>
      <c r="DK57" s="1"/>
      <c r="DZ57" s="1"/>
      <c r="EA57" s="1"/>
      <c r="EB57" s="1"/>
      <c r="EC57" s="1"/>
      <c r="ED57" s="1"/>
      <c r="EE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U57" s="257">
        <f>GW49</f>
        <v>8330911.2800000003</v>
      </c>
      <c r="GV57" s="257" t="s">
        <v>256</v>
      </c>
      <c r="GW57" s="257"/>
      <c r="GX57" s="257"/>
      <c r="GZ57" s="295" t="s">
        <v>260</v>
      </c>
      <c r="HA57" s="226">
        <v>40655653.119999997</v>
      </c>
      <c r="HB57" s="226">
        <v>40655653.119999997</v>
      </c>
      <c r="HC57" s="296"/>
      <c r="JN57" s="477"/>
      <c r="JO57" s="477"/>
      <c r="JP57" s="477"/>
      <c r="JQ57" s="477"/>
      <c r="JR57" s="477"/>
      <c r="JS57" s="477"/>
      <c r="JT57" s="477"/>
      <c r="JU57" s="477"/>
      <c r="JV57" s="477"/>
      <c r="JW57" s="477"/>
      <c r="JX57" s="477"/>
      <c r="JY57" s="477"/>
    </row>
    <row r="58" spans="10:285" s="2" customFormat="1" x14ac:dyDescent="0.25">
      <c r="J58" s="25"/>
      <c r="K58" s="25"/>
      <c r="L58" s="36"/>
      <c r="M58" s="36"/>
      <c r="DI58" s="1"/>
      <c r="DJ58" s="1"/>
      <c r="DK58" s="1"/>
      <c r="DZ58" s="1"/>
      <c r="EA58" s="1"/>
      <c r="EB58" s="1"/>
      <c r="EC58" s="1"/>
      <c r="ED58" s="1"/>
      <c r="EE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U58" s="302">
        <f>GU56-GU57</f>
        <v>23301088.719999999</v>
      </c>
      <c r="GV58" s="257" t="s">
        <v>268</v>
      </c>
      <c r="GW58" s="257"/>
      <c r="GX58" s="257"/>
      <c r="GZ58" s="297" t="s">
        <v>262</v>
      </c>
      <c r="HA58" s="298">
        <v>29475253.120000001</v>
      </c>
      <c r="HB58" s="298">
        <v>29475253.120000001</v>
      </c>
      <c r="HC58" s="249"/>
      <c r="JN58" s="477"/>
      <c r="JO58" s="477"/>
      <c r="JP58" s="477"/>
      <c r="JQ58" s="477"/>
      <c r="JR58" s="477"/>
      <c r="JS58" s="477"/>
      <c r="JT58" s="477"/>
      <c r="JU58" s="477"/>
      <c r="JV58" s="477"/>
      <c r="JW58" s="477"/>
      <c r="JX58" s="477"/>
      <c r="JY58" s="477"/>
    </row>
    <row r="59" spans="10:285" s="2" customFormat="1" x14ac:dyDescent="0.25">
      <c r="J59" s="25"/>
      <c r="K59" s="25"/>
      <c r="L59" s="36"/>
      <c r="M59" s="36"/>
      <c r="DI59" s="1"/>
      <c r="DJ59" s="1"/>
      <c r="DK59" s="1"/>
      <c r="DZ59" s="1"/>
      <c r="EA59" s="1"/>
      <c r="EB59" s="1"/>
      <c r="EC59" s="1"/>
      <c r="ED59" s="1"/>
      <c r="EE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U59" s="257"/>
      <c r="GV59" s="257"/>
      <c r="GW59" s="257"/>
      <c r="GX59" s="257"/>
      <c r="GZ59" s="297" t="s">
        <v>263</v>
      </c>
      <c r="HA59" s="298">
        <v>4916897.38</v>
      </c>
      <c r="HB59" s="298">
        <v>4916897.38</v>
      </c>
      <c r="HC59" s="249"/>
      <c r="JN59" s="477"/>
      <c r="JO59" s="477"/>
      <c r="JP59" s="477"/>
      <c r="JQ59" s="477"/>
      <c r="JR59" s="477"/>
      <c r="JS59" s="477"/>
      <c r="JT59" s="477"/>
      <c r="JU59" s="477"/>
      <c r="JV59" s="477"/>
      <c r="JW59" s="477"/>
      <c r="JX59" s="477"/>
      <c r="JY59" s="477"/>
    </row>
    <row r="60" spans="10:285" s="2" customFormat="1" x14ac:dyDescent="0.25">
      <c r="J60" s="25"/>
      <c r="K60" s="25"/>
      <c r="L60" s="36"/>
      <c r="M60" s="36"/>
      <c r="DI60" s="1"/>
      <c r="DJ60" s="1"/>
      <c r="DK60" s="1"/>
      <c r="DZ60" s="1"/>
      <c r="EA60" s="1"/>
      <c r="EB60" s="1"/>
      <c r="EC60" s="1"/>
      <c r="ED60" s="1"/>
      <c r="EE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U60" s="257">
        <f>GV50-GW50</f>
        <v>21700</v>
      </c>
      <c r="GV60" s="257"/>
      <c r="GW60" s="257"/>
      <c r="GX60" s="257"/>
      <c r="GZ60" s="303" t="s">
        <v>265</v>
      </c>
      <c r="HA60" s="304">
        <f>HA58-HA59</f>
        <v>24558355.739999998</v>
      </c>
      <c r="HB60" s="304">
        <f>HB58-HB59</f>
        <v>24558355.739999998</v>
      </c>
      <c r="HC60" s="271"/>
      <c r="JN60" s="477"/>
      <c r="JO60" s="477"/>
      <c r="JP60" s="477"/>
      <c r="JQ60" s="477"/>
      <c r="JR60" s="477"/>
      <c r="JS60" s="477"/>
      <c r="JT60" s="477"/>
      <c r="JU60" s="477"/>
      <c r="JV60" s="477"/>
      <c r="JW60" s="477"/>
      <c r="JX60" s="477"/>
      <c r="JY60" s="477"/>
    </row>
    <row r="61" spans="10:285" s="2" customFormat="1" x14ac:dyDescent="0.25">
      <c r="J61" s="25"/>
      <c r="K61" s="25"/>
      <c r="DI61" s="1"/>
      <c r="DJ61" s="1"/>
      <c r="DK61" s="1"/>
      <c r="DZ61" s="1"/>
      <c r="EA61" s="1"/>
      <c r="EB61" s="1"/>
      <c r="EC61" s="1"/>
      <c r="ED61" s="1"/>
      <c r="EE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U61" s="284" t="e">
        <f>GU60/GT17</f>
        <v>#REF!</v>
      </c>
      <c r="GV61" s="257" t="s">
        <v>270</v>
      </c>
      <c r="GW61" s="257"/>
      <c r="GX61" s="257"/>
      <c r="GZ61" s="303" t="s">
        <v>267</v>
      </c>
      <c r="HA61" s="298">
        <v>11180400</v>
      </c>
      <c r="HB61" s="298">
        <v>11180400</v>
      </c>
      <c r="HC61" s="249" t="e">
        <f>HA61-#REF!</f>
        <v>#REF!</v>
      </c>
      <c r="JN61" s="477"/>
      <c r="JO61" s="477"/>
      <c r="JP61" s="477"/>
      <c r="JQ61" s="477"/>
      <c r="JR61" s="477"/>
      <c r="JS61" s="477"/>
      <c r="JT61" s="477"/>
      <c r="JU61" s="477"/>
      <c r="JV61" s="477"/>
      <c r="JW61" s="477"/>
      <c r="JX61" s="477"/>
      <c r="JY61" s="477"/>
    </row>
    <row r="62" spans="10:285" x14ac:dyDescent="0.25">
      <c r="GZ62" s="25"/>
      <c r="HA62" s="249">
        <f>HA61+HA58</f>
        <v>40655653.119999997</v>
      </c>
      <c r="HB62" s="249">
        <f>HB61+HB58</f>
        <v>40655653.119999997</v>
      </c>
      <c r="HC62" s="305" t="e">
        <f>HC61/6</f>
        <v>#REF!</v>
      </c>
    </row>
    <row r="63" spans="10:285" x14ac:dyDescent="0.25">
      <c r="GZ63" s="25"/>
      <c r="HA63" s="249"/>
      <c r="HB63" s="249"/>
      <c r="HC63" s="249"/>
    </row>
    <row r="64" spans="10:285" x14ac:dyDescent="0.25">
      <c r="GZ64" s="25"/>
      <c r="HA64" s="257">
        <f>HA60-HA51</f>
        <v>-7073644.2599999998</v>
      </c>
      <c r="HB64" s="257"/>
      <c r="HC64" s="257"/>
    </row>
    <row r="65" spans="208:211" x14ac:dyDescent="0.25">
      <c r="GZ65" s="306" t="s">
        <v>269</v>
      </c>
      <c r="HA65" s="257">
        <f>HA64/6</f>
        <v>-1178940.71</v>
      </c>
      <c r="HB65" s="25"/>
      <c r="HC65" s="25"/>
    </row>
    <row r="66" spans="208:211" x14ac:dyDescent="0.25">
      <c r="GZ66" s="25"/>
      <c r="HA66" s="307">
        <v>1906883.33</v>
      </c>
      <c r="HB66" s="25"/>
      <c r="HC66" s="25"/>
    </row>
  </sheetData>
  <mergeCells count="104">
    <mergeCell ref="CN7:CN8"/>
    <mergeCell ref="R7:R8"/>
    <mergeCell ref="S7:S8"/>
    <mergeCell ref="T7:T8"/>
    <mergeCell ref="V7:V8"/>
    <mergeCell ref="W7:W8"/>
    <mergeCell ref="BJ7:BJ8"/>
    <mergeCell ref="AS7:AS8"/>
    <mergeCell ref="AT7:AT8"/>
    <mergeCell ref="AU7:AU8"/>
    <mergeCell ref="AW7:AW8"/>
    <mergeCell ref="AX7:AX8"/>
    <mergeCell ref="BC7:BC8"/>
    <mergeCell ref="BG7:BG8"/>
    <mergeCell ref="BH7:BH8"/>
    <mergeCell ref="HM7:HM8"/>
    <mergeCell ref="HN7:HN8"/>
    <mergeCell ref="ED7:ED8"/>
    <mergeCell ref="CZ7:CZ8"/>
    <mergeCell ref="DA7:DA8"/>
    <mergeCell ref="DB7:DB8"/>
    <mergeCell ref="DG7:DG8"/>
    <mergeCell ref="A4:N4"/>
    <mergeCell ref="A7:A8"/>
    <mergeCell ref="B7:B8"/>
    <mergeCell ref="C7:C8"/>
    <mergeCell ref="D7:H7"/>
    <mergeCell ref="I7:I8"/>
    <mergeCell ref="K7:K8"/>
    <mergeCell ref="M7:M8"/>
    <mergeCell ref="DH7:DH8"/>
    <mergeCell ref="AY7:AY8"/>
    <mergeCell ref="BW7:BW8"/>
    <mergeCell ref="BZ7:BZ8"/>
    <mergeCell ref="CA7:CA8"/>
    <mergeCell ref="CI7:CI8"/>
    <mergeCell ref="CJ7:CJ8"/>
    <mergeCell ref="CL7:CL8"/>
    <mergeCell ref="CM7:CM8"/>
    <mergeCell ref="GY7:GY8"/>
    <mergeCell ref="HC7:HC8"/>
    <mergeCell ref="HD7:HD8"/>
    <mergeCell ref="HH7:HH8"/>
    <mergeCell ref="HI7:HI8"/>
    <mergeCell ref="DP7:DP8"/>
    <mergeCell ref="DQ7:DQ8"/>
    <mergeCell ref="CQ7:CQ8"/>
    <mergeCell ref="CR7:CR8"/>
    <mergeCell ref="CV7:CV8"/>
    <mergeCell ref="CW7:CW8"/>
    <mergeCell ref="GB7:GB8"/>
    <mergeCell ref="EC7:EC8"/>
    <mergeCell ref="GC7:GC8"/>
    <mergeCell ref="EO7:EO8"/>
    <mergeCell ref="EP7:EP8"/>
    <mergeCell ref="EZ7:EZ8"/>
    <mergeCell ref="FA7:FA8"/>
    <mergeCell ref="FL7:FL8"/>
    <mergeCell ref="FM7:FM8"/>
    <mergeCell ref="FX7:FX8"/>
    <mergeCell ref="FY7:FY8"/>
    <mergeCell ref="FZ7:FZ8"/>
    <mergeCell ref="GA7:GA8"/>
    <mergeCell ref="IN7:IN8"/>
    <mergeCell ref="IV7:IV8"/>
    <mergeCell ref="JD7:JD8"/>
    <mergeCell ref="IO7:IO8"/>
    <mergeCell ref="HR7:HR8"/>
    <mergeCell ref="HS7:HS8"/>
    <mergeCell ref="HW7:HW8"/>
    <mergeCell ref="IB7:IB8"/>
    <mergeCell ref="IE7:IE8"/>
    <mergeCell ref="IF7:IF8"/>
    <mergeCell ref="II7:II8"/>
    <mergeCell ref="IJ7:IJ8"/>
    <mergeCell ref="IA7:IA8"/>
    <mergeCell ref="HX7:HX8"/>
    <mergeCell ref="A24:C24"/>
    <mergeCell ref="CD7:CD8"/>
    <mergeCell ref="CE7:CE8"/>
    <mergeCell ref="CF7:CF8"/>
    <mergeCell ref="CH7:CH8"/>
    <mergeCell ref="BK7:BK8"/>
    <mergeCell ref="BM7:BM8"/>
    <mergeCell ref="BN7:BN8"/>
    <mergeCell ref="BR7:BR8"/>
    <mergeCell ref="BS7:BS8"/>
    <mergeCell ref="BV7:BV8"/>
    <mergeCell ref="BA7:BA8"/>
    <mergeCell ref="BB7:BB8"/>
    <mergeCell ref="JM7:JM8"/>
    <mergeCell ref="IQ16:IQ17"/>
    <mergeCell ref="IR16:IR17"/>
    <mergeCell ref="IX16:IX17"/>
    <mergeCell ref="IY16:IY17"/>
    <mergeCell ref="JG7:JG8"/>
    <mergeCell ref="JH7:JH8"/>
    <mergeCell ref="JI7:JI8"/>
    <mergeCell ref="JJ7:JJ8"/>
    <mergeCell ref="JK7:JK8"/>
    <mergeCell ref="JL7:JL8"/>
    <mergeCell ref="IU7:IU8"/>
    <mergeCell ref="JE7:JE8"/>
    <mergeCell ref="JF7:JF8"/>
  </mergeCells>
  <pageMargins left="0.31496062992125984" right="0" top="0.35433070866141736" bottom="0.15748031496062992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1"/>
  <sheetViews>
    <sheetView workbookViewId="0">
      <selection activeCell="F5" sqref="F5"/>
    </sheetView>
  </sheetViews>
  <sheetFormatPr defaultColWidth="8.88671875" defaultRowHeight="13.8" x14ac:dyDescent="0.25"/>
  <cols>
    <col min="1" max="1" width="19.5546875" style="48" customWidth="1"/>
    <col min="2" max="2" width="29" style="48" customWidth="1"/>
    <col min="3" max="3" width="17.33203125" style="48" customWidth="1"/>
    <col min="4" max="4" width="20.5546875" style="48" customWidth="1"/>
    <col min="5" max="5" width="20.33203125" style="48" customWidth="1"/>
    <col min="6" max="6" width="20.6640625" style="48" customWidth="1"/>
    <col min="7" max="8" width="8.88671875" style="48"/>
    <col min="9" max="9" width="14.6640625" style="48" customWidth="1"/>
    <col min="10" max="10" width="8.88671875" style="48"/>
    <col min="11" max="11" width="12.109375" style="49" customWidth="1"/>
    <col min="12" max="12" width="13.6640625" style="49" customWidth="1"/>
    <col min="13" max="16384" width="8.88671875" style="48"/>
  </cols>
  <sheetData>
    <row r="2" spans="1:20" hidden="1" x14ac:dyDescent="0.25"/>
    <row r="3" spans="1:20" hidden="1" x14ac:dyDescent="0.25">
      <c r="T3" s="48" t="s">
        <v>271</v>
      </c>
    </row>
    <row r="4" spans="1:20" ht="22.2" customHeight="1" x14ac:dyDescent="0.25">
      <c r="F4" s="308" t="s">
        <v>657</v>
      </c>
      <c r="G4" s="50"/>
    </row>
    <row r="6" spans="1:20" ht="40.200000000000003" customHeight="1" x14ac:dyDescent="0.35">
      <c r="A6" s="968" t="s">
        <v>572</v>
      </c>
      <c r="B6" s="968"/>
      <c r="C6" s="968"/>
      <c r="D6" s="968"/>
      <c r="E6" s="968"/>
      <c r="F6" s="51"/>
      <c r="G6" s="51"/>
      <c r="H6" s="51"/>
      <c r="I6" s="51"/>
      <c r="J6" s="51"/>
      <c r="K6" s="309"/>
      <c r="L6" s="309"/>
      <c r="M6" s="51"/>
      <c r="N6" s="51"/>
      <c r="O6" s="51"/>
      <c r="P6" s="51"/>
      <c r="Q6" s="51"/>
      <c r="R6" s="51"/>
      <c r="S6" s="51"/>
    </row>
    <row r="7" spans="1:20" x14ac:dyDescent="0.25">
      <c r="T7" s="75"/>
    </row>
    <row r="8" spans="1:20" x14ac:dyDescent="0.25">
      <c r="A8" s="310" t="s">
        <v>272</v>
      </c>
      <c r="G8" s="75"/>
      <c r="H8" s="75"/>
      <c r="I8" s="75"/>
      <c r="J8" s="75"/>
      <c r="T8" s="75"/>
    </row>
    <row r="10" spans="1:20" ht="44.4" customHeight="1" x14ac:dyDescent="0.25">
      <c r="A10" s="962" t="s">
        <v>2</v>
      </c>
      <c r="B10" s="311" t="s">
        <v>8</v>
      </c>
      <c r="C10" s="962" t="s">
        <v>153</v>
      </c>
      <c r="D10" s="962" t="s">
        <v>337</v>
      </c>
      <c r="E10" s="962" t="s">
        <v>435</v>
      </c>
      <c r="F10" s="962" t="s">
        <v>569</v>
      </c>
    </row>
    <row r="11" spans="1:20" ht="59.4" customHeight="1" x14ac:dyDescent="0.25">
      <c r="A11" s="962"/>
      <c r="B11" s="312" t="s">
        <v>273</v>
      </c>
      <c r="C11" s="962"/>
      <c r="D11" s="962"/>
      <c r="E11" s="962"/>
      <c r="F11" s="962"/>
    </row>
    <row r="12" spans="1:20" ht="25.95" customHeight="1" x14ac:dyDescent="0.25">
      <c r="A12" s="313" t="s">
        <v>18</v>
      </c>
      <c r="B12" s="313" t="s">
        <v>18</v>
      </c>
      <c r="C12" s="313" t="s">
        <v>21</v>
      </c>
      <c r="D12" s="313" t="s">
        <v>21</v>
      </c>
      <c r="E12" s="313" t="s">
        <v>21</v>
      </c>
      <c r="F12" s="313" t="s">
        <v>21</v>
      </c>
    </row>
    <row r="13" spans="1:20" ht="70.2" customHeight="1" x14ac:dyDescent="0.25">
      <c r="A13" s="963" t="s">
        <v>227</v>
      </c>
      <c r="B13" s="318" t="s">
        <v>640</v>
      </c>
      <c r="C13" s="314">
        <f>'прилож.3-ДДТ'!J11</f>
        <v>10236038.4</v>
      </c>
      <c r="D13" s="315">
        <f>C13</f>
        <v>10236038.4</v>
      </c>
      <c r="E13" s="315">
        <f>'прилож.3-ДДТ'!L11</f>
        <v>9113837.9700000007</v>
      </c>
      <c r="F13" s="315">
        <f>'прилож.3-ДДТ'!N11</f>
        <v>9113837.9700000007</v>
      </c>
    </row>
    <row r="14" spans="1:20" ht="55.2" customHeight="1" x14ac:dyDescent="0.25">
      <c r="A14" s="964"/>
      <c r="B14" s="318" t="s">
        <v>229</v>
      </c>
      <c r="C14" s="314">
        <f>'прилож.3-ДДТ'!J12</f>
        <v>10540632.960000001</v>
      </c>
      <c r="D14" s="315">
        <f t="shared" ref="D14:D17" si="0">C14</f>
        <v>10540632.960000001</v>
      </c>
      <c r="E14" s="315">
        <f>'прилож.3-ДДТ'!L12</f>
        <v>9385189.9199999999</v>
      </c>
      <c r="F14" s="315">
        <f>'прилож.3-ДДТ'!N12</f>
        <v>9385189.9199999999</v>
      </c>
    </row>
    <row r="15" spans="1:20" ht="67.95" customHeight="1" x14ac:dyDescent="0.25">
      <c r="A15" s="964"/>
      <c r="B15" s="318" t="s">
        <v>230</v>
      </c>
      <c r="C15" s="314">
        <f>'прилож.3-ДДТ'!J13</f>
        <v>4360269.07</v>
      </c>
      <c r="D15" s="315">
        <f t="shared" si="0"/>
        <v>4360269.07</v>
      </c>
      <c r="E15" s="315">
        <f>'прилож.3-ДДТ'!L13</f>
        <v>3881210.31</v>
      </c>
      <c r="F15" s="315">
        <f>'прилож.3-ДДТ'!N13</f>
        <v>3881210.31</v>
      </c>
    </row>
    <row r="16" spans="1:20" ht="58.2" customHeight="1" x14ac:dyDescent="0.25">
      <c r="A16" s="964"/>
      <c r="B16" s="318" t="s">
        <v>639</v>
      </c>
      <c r="C16" s="314">
        <f>'прилож.3-ДДТ'!J14</f>
        <v>12045095.279999999</v>
      </c>
      <c r="D16" s="315">
        <f t="shared" si="0"/>
        <v>12045095.279999999</v>
      </c>
      <c r="E16" s="315">
        <f>'прилож.3-ДДТ'!L14</f>
        <v>10724805</v>
      </c>
      <c r="F16" s="315">
        <f>'прилож.3-ДДТ'!N14</f>
        <v>10724805</v>
      </c>
    </row>
    <row r="17" spans="1:12" ht="57.6" customHeight="1" x14ac:dyDescent="0.25">
      <c r="A17" s="964"/>
      <c r="B17" s="318" t="s">
        <v>231</v>
      </c>
      <c r="C17" s="314">
        <f>'прилож.3-ДДТ'!J15</f>
        <v>18352404</v>
      </c>
      <c r="D17" s="315">
        <f t="shared" si="0"/>
        <v>18352404</v>
      </c>
      <c r="E17" s="315">
        <f>'прилож.3-ДДТ'!L15</f>
        <v>16341444</v>
      </c>
      <c r="F17" s="315">
        <f>'прилож.3-ДДТ'!N15</f>
        <v>16341444</v>
      </c>
    </row>
    <row r="18" spans="1:12" ht="59.4" customHeight="1" x14ac:dyDescent="0.25">
      <c r="A18" s="965"/>
      <c r="B18" s="318" t="s">
        <v>274</v>
      </c>
      <c r="C18" s="314">
        <f>'прилож.3-ДДТ'!J16</f>
        <v>7987420.7999999998</v>
      </c>
      <c r="D18" s="315">
        <f>C18</f>
        <v>7987420.7999999998</v>
      </c>
      <c r="E18" s="315">
        <f>'прилож.3-ДДТ'!L16</f>
        <v>7111972.7999999998</v>
      </c>
      <c r="F18" s="315">
        <f>'прилож.3-ДДТ'!N16</f>
        <v>7111972.7999999998</v>
      </c>
    </row>
    <row r="19" spans="1:12" ht="21.6" customHeight="1" x14ac:dyDescent="0.25">
      <c r="A19" s="316" t="s">
        <v>233</v>
      </c>
      <c r="B19" s="158" t="s">
        <v>234</v>
      </c>
      <c r="C19" s="153">
        <f>SUM(C13:C18)</f>
        <v>63521860.509999998</v>
      </c>
      <c r="D19" s="153">
        <f>SUM(D13:D18)</f>
        <v>63521860.509999998</v>
      </c>
      <c r="E19" s="153">
        <f>SUM(E13:E18)</f>
        <v>56558460</v>
      </c>
      <c r="F19" s="153">
        <f>SUM(F13:F18)</f>
        <v>56558460</v>
      </c>
    </row>
    <row r="20" spans="1:12" ht="41.4" customHeight="1" x14ac:dyDescent="0.25">
      <c r="A20" s="479" t="s">
        <v>227</v>
      </c>
      <c r="B20" s="322" t="s">
        <v>236</v>
      </c>
      <c r="C20" s="314">
        <f>'прилож.3-ДДТ'!J18</f>
        <v>383727.68</v>
      </c>
      <c r="D20" s="315">
        <f>C20</f>
        <v>383727.68</v>
      </c>
      <c r="E20" s="315">
        <f>'прилож.3-ДДТ'!L18</f>
        <v>0</v>
      </c>
      <c r="F20" s="315">
        <f>'прилож.3-ДДТ'!N18</f>
        <v>0</v>
      </c>
    </row>
    <row r="21" spans="1:12" ht="22.2" customHeight="1" x14ac:dyDescent="0.25">
      <c r="A21" s="316" t="s">
        <v>238</v>
      </c>
      <c r="B21" s="158" t="s">
        <v>239</v>
      </c>
      <c r="C21" s="153">
        <f>C20</f>
        <v>383727.68</v>
      </c>
      <c r="D21" s="153">
        <f>D20</f>
        <v>383727.68</v>
      </c>
      <c r="E21" s="153">
        <f>E20</f>
        <v>0</v>
      </c>
      <c r="F21" s="153">
        <f>F20</f>
        <v>0</v>
      </c>
      <c r="I21" s="77"/>
      <c r="J21" s="77"/>
      <c r="K21" s="319"/>
      <c r="L21" s="320"/>
    </row>
    <row r="22" spans="1:12" ht="23.4" customHeight="1" x14ac:dyDescent="0.25">
      <c r="A22" s="966" t="s">
        <v>119</v>
      </c>
      <c r="B22" s="967"/>
      <c r="C22" s="153">
        <f>C19+C21</f>
        <v>63905588.189999998</v>
      </c>
      <c r="D22" s="153">
        <f>D19+D21</f>
        <v>63905588.189999998</v>
      </c>
      <c r="E22" s="153">
        <f>E19+E21</f>
        <v>56558460</v>
      </c>
      <c r="F22" s="153">
        <f>F19+F21</f>
        <v>56558460</v>
      </c>
      <c r="I22" s="77"/>
      <c r="J22" s="77"/>
      <c r="K22" s="319"/>
      <c r="L22" s="78"/>
    </row>
    <row r="23" spans="1:12" x14ac:dyDescent="0.25">
      <c r="I23" s="77"/>
      <c r="J23" s="77"/>
      <c r="K23" s="319"/>
      <c r="L23" s="319"/>
    </row>
    <row r="24" spans="1:12" x14ac:dyDescent="0.25">
      <c r="A24" s="48" t="s">
        <v>78</v>
      </c>
      <c r="I24" s="77"/>
      <c r="J24" s="77"/>
      <c r="K24" s="319"/>
      <c r="L24" s="319"/>
    </row>
    <row r="25" spans="1:12" x14ac:dyDescent="0.25">
      <c r="I25" s="321"/>
      <c r="J25" s="77"/>
      <c r="K25" s="77"/>
      <c r="L25" s="319"/>
    </row>
    <row r="26" spans="1:12" x14ac:dyDescent="0.25">
      <c r="F26" s="75"/>
      <c r="I26" s="321"/>
      <c r="J26" s="77"/>
      <c r="K26" s="78"/>
      <c r="L26" s="319"/>
    </row>
    <row r="27" spans="1:12" x14ac:dyDescent="0.25">
      <c r="I27" s="321"/>
      <c r="J27" s="77"/>
      <c r="K27" s="77"/>
      <c r="L27" s="319"/>
    </row>
    <row r="28" spans="1:12" x14ac:dyDescent="0.25">
      <c r="I28" s="77"/>
      <c r="J28" s="77"/>
      <c r="K28" s="77"/>
      <c r="L28" s="319"/>
    </row>
    <row r="29" spans="1:12" x14ac:dyDescent="0.25">
      <c r="I29" s="78"/>
      <c r="J29" s="77"/>
      <c r="K29" s="319"/>
      <c r="L29" s="319"/>
    </row>
    <row r="30" spans="1:12" x14ac:dyDescent="0.25">
      <c r="I30" s="78"/>
      <c r="J30" s="77"/>
      <c r="K30" s="319"/>
      <c r="L30" s="319"/>
    </row>
    <row r="31" spans="1:12" x14ac:dyDescent="0.25">
      <c r="I31" s="78"/>
      <c r="J31" s="77"/>
      <c r="K31" s="319"/>
      <c r="L31" s="319"/>
    </row>
  </sheetData>
  <mergeCells count="8">
    <mergeCell ref="F10:F11"/>
    <mergeCell ref="A13:A18"/>
    <mergeCell ref="A22:B22"/>
    <mergeCell ref="A6:E6"/>
    <mergeCell ref="A10:A11"/>
    <mergeCell ref="C10:C11"/>
    <mergeCell ref="D10:D11"/>
    <mergeCell ref="E10:E11"/>
  </mergeCells>
  <pageMargins left="0.31496062992125984" right="0" top="0.35433070866141736" bottom="0.35433070866141736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прилож.3-школы</vt:lpstr>
      <vt:lpstr>прилож.4-школы</vt:lpstr>
      <vt:lpstr>прилож.3-сады</vt:lpstr>
      <vt:lpstr>прилож.4-сады</vt:lpstr>
      <vt:lpstr>прилож.3-ДДТ</vt:lpstr>
      <vt:lpstr>прилож.4-ДДТ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2026-07-31T04:17:24Z</dcterms:modified>
</cp:coreProperties>
</file>